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TE CONTI\"/>
    </mc:Choice>
  </mc:AlternateContent>
  <xr:revisionPtr revIDLastSave="0" documentId="8_{45FCD11D-A338-4E27-92FB-0772772AD6ED}" xr6:coauthVersionLast="47" xr6:coauthVersionMax="47" xr10:uidLastSave="{00000000-0000-0000-0000-000000000000}"/>
  <bookViews>
    <workbookView xWindow="-120" yWindow="-120" windowWidth="29040" windowHeight="15840"/>
  </bookViews>
  <sheets>
    <sheet name="EXHC11348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2" l="1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<sst xmlns="http://schemas.openxmlformats.org/spreadsheetml/2006/main" count="508" uniqueCount="156">
  <si>
    <t>29-11-2021 -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</si>
  <si>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</si>
  <si>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</si>
  <si>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</si>
  <si>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</si>
  <si>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</si>
  <si>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</si>
  <si>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</si>
  <si>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</si>
  <si>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</si>
  <si>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</si>
  <si>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</si>
  <si>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</si>
  <si>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</si>
  <si>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</si>
  <si>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</si>
  <si>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</si>
  <si>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</si>
  <si>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ECOGAS</t>
  </si>
  <si>
    <t>IT01636590661</t>
  </si>
  <si>
    <t>Bolletta Gas relativa al periodo 01/01/2020 - 31/10/2020</t>
  </si>
  <si>
    <t>UFRBBZ</t>
  </si>
  <si>
    <t>Bolletta Gas relativa al periodo 05/08/2020 - 31/10/2020</t>
  </si>
  <si>
    <t>N</t>
  </si>
  <si>
    <t>CASO ANDREA GUIDO</t>
  </si>
  <si>
    <t>CSANRG67D24F205K</t>
  </si>
  <si>
    <t>IT07923410968</t>
  </si>
  <si>
    <t>Nota di credito per storno Fattura nÂ° PA/05_2020 del 06/10/2020. Servizio di Valutazione di Incidenza, Martellata e Direzione Lavori per l'approvvigionamento legna Uso Civico 2017 - CIG Z4419F9562.</t>
  </si>
  <si>
    <t>IANNUCCI ROBERTO</t>
  </si>
  <si>
    <t>NNCRRT86H06C096K</t>
  </si>
  <si>
    <t>IT01971950660</t>
  </si>
  <si>
    <t>AVILO COSTRUZIONI - S.R.L.</t>
  </si>
  <si>
    <t>IT01732610660</t>
  </si>
  <si>
    <t>Lavori di miglioramento delle performance energetiche dell edificio scolastico di proprieta comunale ubicato in viale D Ursitti distinto nel NCEU al foglio 12 part. 1887 CIG ZD22DD65B2 SAL 1</t>
  </si>
  <si>
    <t>"EDILSTRADE DI CASALE MICHELE"</t>
  </si>
  <si>
    <t>CSLMHL69T21A515E</t>
  </si>
  <si>
    <t>IT01294930662</t>
  </si>
  <si>
    <t>TIM - TORINO</t>
  </si>
  <si>
    <t>IT00488410010</t>
  </si>
  <si>
    <t>6BIM 2020</t>
  </si>
  <si>
    <t>CO.M.A.L. SNC</t>
  </si>
  <si>
    <t>IT01368480669</t>
  </si>
  <si>
    <t>ddt 20/1410_02/10/2020;</t>
  </si>
  <si>
    <t>HERA COM S.R.L.</t>
  </si>
  <si>
    <t>IT02221101203</t>
  </si>
  <si>
    <t>FORNITURA SERVIZIO ENERGIA ELETTRICA</t>
  </si>
  <si>
    <t>CIMINI LIBORIO GABRIELE</t>
  </si>
  <si>
    <t>CMNLRG65M09G079A</t>
  </si>
  <si>
    <t>IT01854520663</t>
  </si>
  <si>
    <t>STORNO PER ERRATA FATTURAZIONE Fatt. n. 1/2020 del 07/10/2020 Errato calcolo Cassa INPS</t>
  </si>
  <si>
    <t>CONTRATTO DI REALIZZAZIONE, GESTIONE E MANUTENZIONE SITO WEB www.comune.opi.aq.it</t>
  </si>
  <si>
    <t>Fattura per incarico professionale. Servizio di Valutazione di Incidenza, Martellata e Direzione Lavori per l'approvvigionamento legna Uso Civico 2017 - CIG Z4419F9562.</t>
  </si>
  <si>
    <t>F.LLI D'ADDARIO GIUSEPPE &amp; C. SNC</t>
  </si>
  <si>
    <t>IT00180020661</t>
  </si>
  <si>
    <t>HALLEY INFORMATICA</t>
  </si>
  <si>
    <t>IT00384350435</t>
  </si>
  <si>
    <t>MATERIALE HW</t>
  </si>
  <si>
    <t>Onsite + Fulmini per Gruppo</t>
  </si>
  <si>
    <t>TEAM SERVICE SCRL</t>
  </si>
  <si>
    <t>IT07947601006</t>
  </si>
  <si>
    <t>FATTURA</t>
  </si>
  <si>
    <t>A.F.G. srl</t>
  </si>
  <si>
    <t>IT01918421007</t>
  </si>
  <si>
    <t>Servizio di supporto all'elaborazione dei dati propedeutici all'accertamento e alla riscossione in forma diretta dei tributi da parte del comune IMU/TASI/TARI. - CIG Z422B8F200</t>
  </si>
  <si>
    <t>DI GREGORIO PIERLUCA GRAFICA EPAM</t>
  </si>
  <si>
    <t>DGRPLC81L12C096V</t>
  </si>
  <si>
    <t>IT01650250663</t>
  </si>
  <si>
    <t>ORE PROTOCOLLO</t>
  </si>
  <si>
    <t>MYO SRL</t>
  </si>
  <si>
    <t>IT03222970406</t>
  </si>
  <si>
    <t>CLI 00413626</t>
  </si>
  <si>
    <t>PRO MONTIBUS SAS</t>
  </si>
  <si>
    <t>IT01686150663</t>
  </si>
  <si>
    <t>ENEL ENERGIA</t>
  </si>
  <si>
    <t>IT06655971007</t>
  </si>
  <si>
    <t>GI GROUP SPA</t>
  </si>
  <si>
    <t>IT11629770154</t>
  </si>
  <si>
    <t>LAV: CIMINI CESIDIO ANTONELLO - CF: CMNCDN88S02C096A - MATR: 2195664 - DT INIZ: 07/01/2020 - DT FINE: 08/04/2020</t>
  </si>
  <si>
    <t>METALINFISSI SRL</t>
  </si>
  <si>
    <t>IT00854480944</t>
  </si>
  <si>
    <t>POSTE ITALIANE SPA</t>
  </si>
  <si>
    <t>IT01114601006</t>
  </si>
  <si>
    <t>Fattura Elettronica relativa all'Identificativo Rendiconto 2104922698</t>
  </si>
  <si>
    <t>Fattura Elettronica relativa all'Identificativo Rendiconto 2104524982</t>
  </si>
  <si>
    <t>1BIM 2020</t>
  </si>
  <si>
    <t>Causale documento: STORNO TOTALE RIF. NS. FT N. 95677 DEL 30/11/2019 PER ERRATO CIG</t>
  </si>
  <si>
    <t>Causale documento: STORNO TOTALE RIF. NS. FT N. 91003 DEL 31/10/2019 PER ERRATO INSERIMENTO CIG</t>
  </si>
  <si>
    <t>Bolletta Gas relativa al periodo 22/04/2019 - 08/10/2019</t>
  </si>
  <si>
    <t>Fattura Elettronica relativa all'Identificativo Rendiconto 2103932396</t>
  </si>
  <si>
    <t>LAV: CIMINI CESIDIO ANTONELLO - CF: CMNCDN88S02C096A - MATR: 2144155 - DT INIZ: 16/09/2019 - DT FINE: 21/12/2019</t>
  </si>
  <si>
    <t>SIAE AG. DI PESCINA</t>
  </si>
  <si>
    <t>IT00987061009</t>
  </si>
  <si>
    <t>Uff.PESCINA SALA POLIVALENTE PER.02/01/2018-02/01/2018 Concerto classica 120622020180</t>
  </si>
  <si>
    <t>C.A.S.I.</t>
  </si>
  <si>
    <t>IT00286640941</t>
  </si>
  <si>
    <t>Retta collocazione minori: MAZZOCCHI Matteo Mirko e Daniel presso COMUNITA ALLOGGIO PER MINORI IN DIFFICOLTA' " GIOVANNI PAOLO II sita in Pescolanciano IS PERIODO DAL 01/06/2019 AL 30/06/2019</t>
  </si>
  <si>
    <t>Retta collocazione minori: MAZZOCCHI Matteo Mirko e Daniel presso COMUNITA ALLOGGIO PER MINORI IN DIFFICOLTA' " GIOVANNI PAOLO II sita in Pescolanciano IS PERIODO DAL 01/05/2019 AL 31/05/2019</t>
  </si>
  <si>
    <t>Retta collocazione minori: MAZZOCCHI Matteo Mirko e Daniel presso COMUNITA ALLOGGIO PER MINORI IN DIFFICOLTA' " GIOVANNI PAOLO II sita in Pescolanciano IS PERIODO DAL 01/03/2019 AL 31/03/2019</t>
  </si>
  <si>
    <t>Retta collocazione minori: MAZZOCCHI Matteo Mirko e Daniel presso COMUNITA ALLOGGIO PER MINORI IN DIFFICOLTA' " GIOVANNI PAOLO II sita in Pescolanciano IS PERIODO DAL 01/04/2019 AL 30/04/2019</t>
  </si>
  <si>
    <t>TESORERIA COMUNALE BCC DI ROMA AG 37 PESCASSEROLI</t>
  </si>
  <si>
    <t>IT00980931000</t>
  </si>
  <si>
    <t>COMPENSO DI TESORERIA ANNO 2018</t>
  </si>
  <si>
    <t>AVV FURNERI GIUSEPPA SAVINA</t>
  </si>
  <si>
    <t>IT09805781003</t>
  </si>
  <si>
    <t>Fattura Elettronica relativa all'Identificativo Rendiconto 2100771210</t>
  </si>
  <si>
    <t>STAMPERIA CREATIVA SRLS</t>
  </si>
  <si>
    <t>IT13674271005</t>
  </si>
  <si>
    <t>CTRL FILE RUOLO ACQUEDOTTO BOLLETTAZIONE ACQUEDOTTO RIMBORSO SPESE DI SPEDIZIONE ART.15 DPR 633/72 SPESE ANTICIPATE PER VOSTRO NOME E CONTO IMPOSTA DI BOLLO EURO 2,00 ASSOLTA IN MODO VIRTUALE RIFERIM</t>
  </si>
  <si>
    <t>Retta Unica giornaliera per collocazione minori: Mazzocchi Matteo Mirko e Daniel presso la comunit  alloggio per minori "Giovanni Paolo II" sita in Pescolanciano (IS) Novembre (2018)</t>
  </si>
  <si>
    <t>Retta Unica giornaliera per collocazione minori: Mazzocchi Matteo Mirko e Daniel presso la comunitÃ  alloggio per minori "Giovanni Paolo II" sita in Pescolanciano (IS) Ottobre (2018)</t>
  </si>
  <si>
    <t>GRAFICHE GASPARI SRL</t>
  </si>
  <si>
    <t>IT00089070403</t>
  </si>
  <si>
    <t>SGAMMOTTA RUFFINO</t>
  </si>
  <si>
    <t>SGMRFN66C18G079E</t>
  </si>
  <si>
    <t>IT01485530669</t>
  </si>
  <si>
    <t>LAVORI COMPLEMENTARI</t>
  </si>
  <si>
    <t>COMPENSO DI TESORERIA ANNO 2017</t>
  </si>
  <si>
    <t>CANILE MARSICANO SRL</t>
  </si>
  <si>
    <t>IT01875510669</t>
  </si>
  <si>
    <t>errato calcolo nella fattura n'31 del 27/09/2017</t>
  </si>
  <si>
    <t>IMPR. LEONE DANTE</t>
  </si>
  <si>
    <t>LNEDNT51S06G079O</t>
  </si>
  <si>
    <t>IT00119410660</t>
  </si>
  <si>
    <t>CIG: Z6B1E640B8</t>
  </si>
  <si>
    <t>custodia e mantenimento cani randagi dal 02/04/2017 al 01/04/2018</t>
  </si>
  <si>
    <t>ADDESTRAMENTO RIFERIMENTO FOGLIO INTERVENTO N.230756 DEL 22.09.17 RIFERITO ALLA FINANZIARIA Determina n. 36/c IMP 145/2017 CAP 101203/3</t>
  </si>
  <si>
    <t>BANCA FARMAFACTORING SPA</t>
  </si>
  <si>
    <t>IT07960110158</t>
  </si>
  <si>
    <t>Nota di credito per storno Fattura nÂ° PA/08_2017 del 03/07/2017. Servizio di Valutazione di Incidenza, Martellata e Direzione Lavori per l'approvvigionamento legna Uso Civico 2017 - CIG Z4419F9562.</t>
  </si>
  <si>
    <t>ENI GAS E LUCE SPA</t>
  </si>
  <si>
    <t>IT12300020158</t>
  </si>
  <si>
    <t>ENI SPA</t>
  </si>
  <si>
    <t>IT00905811006</t>
  </si>
  <si>
    <t>BORRONE MARCELLO</t>
  </si>
  <si>
    <t>BRRMCL58A15C632K</t>
  </si>
  <si>
    <t>IT01596800696</t>
  </si>
  <si>
    <t>RIFERIMENTO FATTURA PA18 DEL 07.08.2015 COMPENSATA CON DETERMINA NÂ°150 DEL 11.11.2016</t>
  </si>
  <si>
    <t>IMPR. BOCCIA SECONDINO</t>
  </si>
  <si>
    <t>IT91019350667</t>
  </si>
  <si>
    <t>MANUTENZIONE ORDINARIA CONDUZIONE IMPIANTO IDRICO COMUNALE PERIDO APRILE, MAGGIO, GIUGNO LUGLIO 2017</t>
  </si>
  <si>
    <t>ENERSERVICE SRL</t>
  </si>
  <si>
    <t>IT01671590667</t>
  </si>
  <si>
    <t>Fattura Elettronica relativa all'Identificativo Rendiconto 2090027739</t>
  </si>
  <si>
    <t>G.E.L.D. SRL</t>
  </si>
  <si>
    <t>IT01954350664</t>
  </si>
  <si>
    <t>Bolletta Gas relativa al periodo 30/04/2016 - 14/10/2016</t>
  </si>
  <si>
    <t>CELLONE EMANUELE</t>
  </si>
  <si>
    <t>CLLMNL51P23G079U</t>
  </si>
  <si>
    <t>IT01080840661</t>
  </si>
  <si>
    <t>CIG: ZBC1AF4C3C</t>
  </si>
  <si>
    <t>TELECOM ITALIA SPA</t>
  </si>
  <si>
    <t>IT06947890015</t>
  </si>
  <si>
    <t>6BIM 2016</t>
  </si>
  <si>
    <t>Fattura Elettronica relativa all'Identificativo Rendiconto 2084401372</t>
  </si>
  <si>
    <t>C/O I LOCALI DEL COMUNE DI OPI</t>
  </si>
  <si>
    <t>NOTA DI CREDITO A STORNO TOTALE DELLA FATTURA 181PA/2016 DEL 28/01/2016 PER ERRATO CIG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</si>
</sst>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showGridLines="0" tabSelected="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20.1406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0.49633101851851852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44166</v>
      </c>
      <c r="C3" s="4" t="str">
        <f>"BT2020114194"</f>
        <v>BT2020114194</v>
      </c>
      <c r="D3" s="4">
        <v>4123256641</v>
      </c>
      <c r="E3" s="5">
        <v>44179</v>
      </c>
      <c r="F3" s="4">
        <v>466</v>
      </c>
      <c r="G3" s="4">
        <v>44</v>
      </c>
      <c r="H3" s="4" t="s">
        <v>18</v>
      </c>
      <c r="I3" s="4">
        <v>1636590661</v>
      </c>
      <c r="J3" s="4" t="s">
        <v>19</v>
      </c>
      <c r="K3" s="4" t="s">
        <v>20</v>
      </c>
      <c r="L3" s="4">
        <v>124.91</v>
      </c>
      <c r="M3" s="4">
        <v>104.73</v>
      </c>
      <c r="N3" s="5">
        <v>44196</v>
      </c>
      <c r="O3" s="5">
        <v>44238</v>
      </c>
      <c r="P3" s="4" t="s">
        <v>21</v>
      </c>
    </row>
    <row r="4" spans="1:16" x14ac:dyDescent="0.25">
      <c r="A4" s="4" t="s">
        <v>17</v>
      </c>
      <c r="B4" s="5">
        <v>44166</v>
      </c>
      <c r="C4" s="4" t="str">
        <f>"BT2020114220"</f>
        <v>BT2020114220</v>
      </c>
      <c r="D4" s="4">
        <v>4123257525</v>
      </c>
      <c r="E4" s="5">
        <v>44175</v>
      </c>
      <c r="F4" s="4">
        <v>463</v>
      </c>
      <c r="G4" s="4">
        <v>44</v>
      </c>
      <c r="H4" s="4" t="s">
        <v>18</v>
      </c>
      <c r="I4" s="4">
        <v>1636590661</v>
      </c>
      <c r="J4" s="4" t="s">
        <v>19</v>
      </c>
      <c r="K4" s="4" t="s">
        <v>22</v>
      </c>
      <c r="L4" s="4">
        <v>61.48</v>
      </c>
      <c r="M4" s="4">
        <v>54.19</v>
      </c>
      <c r="N4" s="5">
        <v>44196</v>
      </c>
      <c r="O4" s="5">
        <v>44238</v>
      </c>
      <c r="P4" s="4" t="s">
        <v>21</v>
      </c>
    </row>
    <row r="5" spans="1:16" x14ac:dyDescent="0.25">
      <c r="A5" s="4" t="s">
        <v>23</v>
      </c>
      <c r="B5" s="5">
        <v>44165</v>
      </c>
      <c r="C5" s="4" t="str">
        <f>"PA/01_2020"</f>
        <v>PA/01_2020</v>
      </c>
      <c r="D5" s="4">
        <v>4109047664</v>
      </c>
      <c r="E5" s="5">
        <v>44165</v>
      </c>
      <c r="F5" s="4">
        <v>446</v>
      </c>
      <c r="G5" s="4">
        <v>1004</v>
      </c>
      <c r="H5" s="4" t="s">
        <v>24</v>
      </c>
      <c r="I5" s="4" t="s">
        <v>25</v>
      </c>
      <c r="J5" s="4" t="s">
        <v>26</v>
      </c>
      <c r="K5" s="4" t="s">
        <v>27</v>
      </c>
      <c r="L5" s="6">
        <v>-4880</v>
      </c>
      <c r="M5" s="6">
        <v>-4095.69</v>
      </c>
      <c r="N5" s="5">
        <v>44195</v>
      </c>
      <c r="O5" s="4"/>
      <c r="P5" s="4" t="s">
        <v>21</v>
      </c>
    </row>
    <row r="6" spans="1:16" x14ac:dyDescent="0.25">
      <c r="A6" s="4" t="s">
        <v>17</v>
      </c>
      <c r="B6" s="5">
        <v>44157</v>
      </c>
      <c r="C6" s="4" t="str">
        <f>"31"</f>
        <v>31</v>
      </c>
      <c r="D6" s="4">
        <v>4071766289</v>
      </c>
      <c r="E6" s="5">
        <v>44165</v>
      </c>
      <c r="F6" s="4">
        <v>445</v>
      </c>
      <c r="G6" s="4">
        <v>1022</v>
      </c>
      <c r="H6" s="4" t="s">
        <v>28</v>
      </c>
      <c r="I6" s="4" t="s">
        <v>29</v>
      </c>
      <c r="J6" s="4" t="s">
        <v>30</v>
      </c>
      <c r="K6" s="4"/>
      <c r="L6" s="4">
        <v>576.29</v>
      </c>
      <c r="M6" s="4">
        <v>472.37</v>
      </c>
      <c r="N6" s="5">
        <v>44187</v>
      </c>
      <c r="O6" s="5">
        <v>44258</v>
      </c>
      <c r="P6" s="4" t="s">
        <v>21</v>
      </c>
    </row>
    <row r="7" spans="1:16" x14ac:dyDescent="0.25">
      <c r="A7" s="4" t="s">
        <v>17</v>
      </c>
      <c r="B7" s="5">
        <v>44153</v>
      </c>
      <c r="C7" s="4" t="str">
        <f>"30"</f>
        <v>30</v>
      </c>
      <c r="D7" s="4">
        <v>4055178976</v>
      </c>
      <c r="E7" s="5">
        <v>44165</v>
      </c>
      <c r="F7" s="4">
        <v>425</v>
      </c>
      <c r="G7" s="4">
        <v>976</v>
      </c>
      <c r="H7" s="4" t="s">
        <v>31</v>
      </c>
      <c r="I7" s="4">
        <v>1732610660</v>
      </c>
      <c r="J7" s="4" t="s">
        <v>32</v>
      </c>
      <c r="K7" s="4" t="s">
        <v>33</v>
      </c>
      <c r="L7" s="6">
        <v>37239.379999999997</v>
      </c>
      <c r="M7" s="6">
        <v>3385.4</v>
      </c>
      <c r="N7" s="5">
        <v>44183</v>
      </c>
      <c r="O7" s="5">
        <v>44292</v>
      </c>
      <c r="P7" s="4" t="s">
        <v>21</v>
      </c>
    </row>
    <row r="8" spans="1:16" x14ac:dyDescent="0.25">
      <c r="A8" s="4" t="s">
        <v>17</v>
      </c>
      <c r="B8" s="5">
        <v>44153</v>
      </c>
      <c r="C8" s="4" t="str">
        <f>"30"</f>
        <v>30</v>
      </c>
      <c r="D8" s="4">
        <v>4055178976</v>
      </c>
      <c r="E8" s="5">
        <v>44165</v>
      </c>
      <c r="F8" s="4">
        <v>425</v>
      </c>
      <c r="G8" s="4">
        <v>976</v>
      </c>
      <c r="H8" s="4" t="s">
        <v>31</v>
      </c>
      <c r="I8" s="4">
        <v>1732610660</v>
      </c>
      <c r="J8" s="4" t="s">
        <v>32</v>
      </c>
      <c r="K8" s="4" t="s">
        <v>33</v>
      </c>
      <c r="L8" s="6">
        <v>37239.379999999997</v>
      </c>
      <c r="M8" s="6">
        <v>9894.61</v>
      </c>
      <c r="N8" s="5">
        <v>44183</v>
      </c>
      <c r="O8" s="5">
        <v>44286</v>
      </c>
      <c r="P8" s="4" t="s">
        <v>21</v>
      </c>
    </row>
    <row r="9" spans="1:16" x14ac:dyDescent="0.25">
      <c r="A9" s="4" t="s">
        <v>17</v>
      </c>
      <c r="B9" s="5">
        <v>44151</v>
      </c>
      <c r="C9" s="4" t="str">
        <f>"31/E"</f>
        <v>31/E</v>
      </c>
      <c r="D9" s="4">
        <v>4039698676</v>
      </c>
      <c r="E9" s="5">
        <v>44165</v>
      </c>
      <c r="F9" s="4">
        <v>427</v>
      </c>
      <c r="G9" s="4">
        <v>890</v>
      </c>
      <c r="H9" s="4" t="s">
        <v>34</v>
      </c>
      <c r="I9" s="4" t="s">
        <v>35</v>
      </c>
      <c r="J9" s="4" t="s">
        <v>36</v>
      </c>
      <c r="K9" s="4"/>
      <c r="L9" s="6">
        <v>3802.06</v>
      </c>
      <c r="M9" s="6">
        <v>3456.42</v>
      </c>
      <c r="N9" s="5">
        <v>44181</v>
      </c>
      <c r="O9" s="5">
        <v>44258</v>
      </c>
      <c r="P9" s="4" t="s">
        <v>21</v>
      </c>
    </row>
    <row r="10" spans="1:16" x14ac:dyDescent="0.25">
      <c r="A10" s="4" t="s">
        <v>17</v>
      </c>
      <c r="B10" s="5">
        <v>44146</v>
      </c>
      <c r="C10" s="4" t="str">
        <f>"8P00190060"</f>
        <v>8P00190060</v>
      </c>
      <c r="D10" s="4">
        <v>4035255336</v>
      </c>
      <c r="E10" s="5">
        <v>44165</v>
      </c>
      <c r="F10" s="4">
        <v>442</v>
      </c>
      <c r="G10" s="4">
        <v>461</v>
      </c>
      <c r="H10" s="4" t="s">
        <v>37</v>
      </c>
      <c r="I10" s="4">
        <v>488410010</v>
      </c>
      <c r="J10" s="4" t="s">
        <v>38</v>
      </c>
      <c r="K10" s="4" t="s">
        <v>39</v>
      </c>
      <c r="L10" s="4">
        <v>386.39</v>
      </c>
      <c r="M10" s="4">
        <v>317.97000000000003</v>
      </c>
      <c r="N10" s="5">
        <v>44179</v>
      </c>
      <c r="O10" s="5">
        <v>44238</v>
      </c>
      <c r="P10" s="4" t="s">
        <v>21</v>
      </c>
    </row>
    <row r="11" spans="1:16" x14ac:dyDescent="0.25">
      <c r="A11" s="4" t="s">
        <v>17</v>
      </c>
      <c r="B11" s="5">
        <v>44146</v>
      </c>
      <c r="C11" s="4" t="str">
        <f>"8P00190645"</f>
        <v>8P00190645</v>
      </c>
      <c r="D11" s="4">
        <v>4035705718</v>
      </c>
      <c r="E11" s="5">
        <v>44165</v>
      </c>
      <c r="F11" s="4">
        <v>441</v>
      </c>
      <c r="G11" s="4">
        <v>461</v>
      </c>
      <c r="H11" s="4" t="s">
        <v>37</v>
      </c>
      <c r="I11" s="4">
        <v>488410010</v>
      </c>
      <c r="J11" s="4" t="s">
        <v>38</v>
      </c>
      <c r="K11" s="4" t="s">
        <v>39</v>
      </c>
      <c r="L11" s="4">
        <v>160.69</v>
      </c>
      <c r="M11" s="4">
        <v>132.79</v>
      </c>
      <c r="N11" s="5">
        <v>44179</v>
      </c>
      <c r="O11" s="5">
        <v>44238</v>
      </c>
      <c r="P11" s="4" t="s">
        <v>21</v>
      </c>
    </row>
    <row r="12" spans="1:16" x14ac:dyDescent="0.25">
      <c r="A12" s="4" t="s">
        <v>17</v>
      </c>
      <c r="B12" s="5">
        <v>44135</v>
      </c>
      <c r="C12" s="4" t="str">
        <f>"D20/0012"</f>
        <v>D20/0012</v>
      </c>
      <c r="D12" s="4">
        <v>3971852097</v>
      </c>
      <c r="E12" s="5">
        <v>44146</v>
      </c>
      <c r="F12" s="4">
        <v>412</v>
      </c>
      <c r="G12" s="4">
        <v>1181</v>
      </c>
      <c r="H12" s="4" t="s">
        <v>40</v>
      </c>
      <c r="I12" s="4"/>
      <c r="J12" s="4" t="s">
        <v>41</v>
      </c>
      <c r="K12" s="4" t="s">
        <v>42</v>
      </c>
      <c r="L12" s="4">
        <v>28.06</v>
      </c>
      <c r="M12" s="4">
        <v>23</v>
      </c>
      <c r="N12" s="5">
        <v>44170</v>
      </c>
      <c r="O12" s="5">
        <v>44238</v>
      </c>
      <c r="P12" s="4" t="s">
        <v>21</v>
      </c>
    </row>
    <row r="13" spans="1:16" x14ac:dyDescent="0.25">
      <c r="A13" s="4" t="s">
        <v>17</v>
      </c>
      <c r="B13" s="5">
        <v>44127</v>
      </c>
      <c r="C13" s="4" t="str">
        <f>"412019286361"</f>
        <v>412019286361</v>
      </c>
      <c r="D13" s="4">
        <v>3909108838</v>
      </c>
      <c r="E13" s="5">
        <v>44146</v>
      </c>
      <c r="F13" s="4">
        <v>399</v>
      </c>
      <c r="G13" s="4">
        <v>804</v>
      </c>
      <c r="H13" s="4" t="s">
        <v>43</v>
      </c>
      <c r="I13" s="4">
        <v>2221101203</v>
      </c>
      <c r="J13" s="4" t="s">
        <v>44</v>
      </c>
      <c r="K13" s="4" t="s">
        <v>45</v>
      </c>
      <c r="L13" s="6">
        <v>1090.6600000000001</v>
      </c>
      <c r="M13" s="4">
        <v>893.98</v>
      </c>
      <c r="N13" s="5">
        <v>44160</v>
      </c>
      <c r="O13" s="5">
        <v>44207</v>
      </c>
      <c r="P13" s="4" t="s">
        <v>21</v>
      </c>
    </row>
    <row r="14" spans="1:16" x14ac:dyDescent="0.25">
      <c r="A14" s="4" t="s">
        <v>23</v>
      </c>
      <c r="B14" s="5">
        <v>44112</v>
      </c>
      <c r="C14" s="4" t="str">
        <f>"FATTPA 2_20"</f>
        <v>FATTPA 2_20</v>
      </c>
      <c r="D14" s="4">
        <v>3807275195</v>
      </c>
      <c r="E14" s="5">
        <v>44126</v>
      </c>
      <c r="F14" s="4">
        <v>394</v>
      </c>
      <c r="G14" s="4">
        <v>951</v>
      </c>
      <c r="H14" s="4" t="s">
        <v>46</v>
      </c>
      <c r="I14" s="4" t="s">
        <v>47</v>
      </c>
      <c r="J14" s="4" t="s">
        <v>48</v>
      </c>
      <c r="K14" s="4" t="s">
        <v>49</v>
      </c>
      <c r="L14" s="4">
        <v>-685.2</v>
      </c>
      <c r="M14" s="4">
        <v>-685.2</v>
      </c>
      <c r="N14" s="5">
        <v>44143</v>
      </c>
      <c r="O14" s="4"/>
      <c r="P14" s="4" t="s">
        <v>21</v>
      </c>
    </row>
    <row r="15" spans="1:16" x14ac:dyDescent="0.25">
      <c r="A15" s="4" t="s">
        <v>17</v>
      </c>
      <c r="B15" s="5">
        <v>44112</v>
      </c>
      <c r="C15" s="4" t="str">
        <f>"FATTPA 3_20"</f>
        <v>FATTPA 3_20</v>
      </c>
      <c r="D15" s="4">
        <v>3807284777</v>
      </c>
      <c r="E15" s="5">
        <v>44126</v>
      </c>
      <c r="F15" s="4">
        <v>395</v>
      </c>
      <c r="G15" s="4">
        <v>951</v>
      </c>
      <c r="H15" s="4" t="s">
        <v>46</v>
      </c>
      <c r="I15" s="4" t="s">
        <v>47</v>
      </c>
      <c r="J15" s="4" t="s">
        <v>48</v>
      </c>
      <c r="K15" s="4" t="s">
        <v>50</v>
      </c>
      <c r="L15" s="4">
        <v>686.4</v>
      </c>
      <c r="M15" s="4">
        <v>686.4</v>
      </c>
      <c r="N15" s="5">
        <v>44143</v>
      </c>
      <c r="O15" s="5">
        <v>44389</v>
      </c>
      <c r="P15" s="4" t="s">
        <v>21</v>
      </c>
    </row>
    <row r="16" spans="1:16" x14ac:dyDescent="0.25">
      <c r="A16" s="4" t="s">
        <v>17</v>
      </c>
      <c r="B16" s="5">
        <v>44111</v>
      </c>
      <c r="C16" s="4" t="str">
        <f>"FATTPA 1_20"</f>
        <v>FATTPA 1_20</v>
      </c>
      <c r="D16" s="4">
        <v>3794451604</v>
      </c>
      <c r="E16" s="5">
        <v>44126</v>
      </c>
      <c r="F16" s="4">
        <v>396</v>
      </c>
      <c r="G16" s="4">
        <v>951</v>
      </c>
      <c r="H16" s="4" t="s">
        <v>46</v>
      </c>
      <c r="I16" s="4" t="s">
        <v>47</v>
      </c>
      <c r="J16" s="4" t="s">
        <v>48</v>
      </c>
      <c r="K16" s="4" t="s">
        <v>50</v>
      </c>
      <c r="L16" s="4">
        <v>685.2</v>
      </c>
      <c r="M16" s="4">
        <v>685.2</v>
      </c>
      <c r="N16" s="5">
        <v>44141</v>
      </c>
      <c r="O16" s="4"/>
      <c r="P16" s="4" t="s">
        <v>21</v>
      </c>
    </row>
    <row r="17" spans="1:16" x14ac:dyDescent="0.25">
      <c r="A17" s="4" t="s">
        <v>17</v>
      </c>
      <c r="B17" s="5">
        <v>44110</v>
      </c>
      <c r="C17" s="4" t="str">
        <f>"PA/05_2020"</f>
        <v>PA/05_2020</v>
      </c>
      <c r="D17" s="4">
        <v>3788806796</v>
      </c>
      <c r="E17" s="5">
        <v>44126</v>
      </c>
      <c r="F17" s="4">
        <v>393</v>
      </c>
      <c r="G17" s="4">
        <v>1004</v>
      </c>
      <c r="H17" s="4" t="s">
        <v>24</v>
      </c>
      <c r="I17" s="4" t="s">
        <v>25</v>
      </c>
      <c r="J17" s="4" t="s">
        <v>26</v>
      </c>
      <c r="K17" s="4" t="s">
        <v>51</v>
      </c>
      <c r="L17" s="6">
        <v>4880</v>
      </c>
      <c r="M17" s="6">
        <v>4095.69</v>
      </c>
      <c r="N17" s="5">
        <v>44141</v>
      </c>
      <c r="O17" s="4"/>
      <c r="P17" s="4" t="s">
        <v>21</v>
      </c>
    </row>
    <row r="18" spans="1:16" x14ac:dyDescent="0.25">
      <c r="A18" s="4" t="s">
        <v>17</v>
      </c>
      <c r="B18" s="5">
        <v>44104</v>
      </c>
      <c r="C18" s="4" t="str">
        <f>"65Distributore"</f>
        <v>65Distributore</v>
      </c>
      <c r="D18" s="4">
        <v>3773169013</v>
      </c>
      <c r="E18" s="5">
        <v>44126</v>
      </c>
      <c r="F18" s="4">
        <v>369</v>
      </c>
      <c r="G18" s="4">
        <v>142</v>
      </c>
      <c r="H18" s="4" t="s">
        <v>52</v>
      </c>
      <c r="I18" s="4">
        <v>180020661</v>
      </c>
      <c r="J18" s="4" t="s">
        <v>53</v>
      </c>
      <c r="K18" s="4"/>
      <c r="L18" s="4">
        <v>258</v>
      </c>
      <c r="M18" s="4">
        <v>211.48</v>
      </c>
      <c r="N18" s="5">
        <v>44137</v>
      </c>
      <c r="O18" s="5">
        <v>44238</v>
      </c>
      <c r="P18" s="4" t="s">
        <v>21</v>
      </c>
    </row>
    <row r="19" spans="1:16" x14ac:dyDescent="0.25">
      <c r="A19" s="4" t="s">
        <v>17</v>
      </c>
      <c r="B19" s="5">
        <v>44104</v>
      </c>
      <c r="C19" s="4" t="str">
        <f>"16770/16/10"</f>
        <v>16770/16/10</v>
      </c>
      <c r="D19" s="4">
        <v>3746829396</v>
      </c>
      <c r="E19" s="5">
        <v>44126</v>
      </c>
      <c r="F19" s="4">
        <v>389</v>
      </c>
      <c r="G19" s="4">
        <v>286</v>
      </c>
      <c r="H19" s="4" t="s">
        <v>54</v>
      </c>
      <c r="I19" s="4"/>
      <c r="J19" s="4" t="s">
        <v>55</v>
      </c>
      <c r="K19" s="4" t="s">
        <v>56</v>
      </c>
      <c r="L19" s="4">
        <v>64.66</v>
      </c>
      <c r="M19" s="4">
        <v>53</v>
      </c>
      <c r="N19" s="5">
        <v>44135</v>
      </c>
      <c r="O19" s="5">
        <v>44222</v>
      </c>
      <c r="P19" s="4" t="s">
        <v>21</v>
      </c>
    </row>
    <row r="20" spans="1:16" x14ac:dyDescent="0.25">
      <c r="A20" s="4" t="s">
        <v>17</v>
      </c>
      <c r="B20" s="5">
        <v>44104</v>
      </c>
      <c r="C20" s="4" t="str">
        <f>"16793/16/10"</f>
        <v>16793/16/10</v>
      </c>
      <c r="D20" s="4">
        <v>3747995528</v>
      </c>
      <c r="E20" s="5">
        <v>44126</v>
      </c>
      <c r="F20" s="4">
        <v>388</v>
      </c>
      <c r="G20" s="4">
        <v>286</v>
      </c>
      <c r="H20" s="4" t="s">
        <v>54</v>
      </c>
      <c r="I20" s="4"/>
      <c r="J20" s="4" t="s">
        <v>55</v>
      </c>
      <c r="K20" s="4" t="s">
        <v>57</v>
      </c>
      <c r="L20" s="4">
        <v>22.63</v>
      </c>
      <c r="M20" s="4">
        <v>18.55</v>
      </c>
      <c r="N20" s="5">
        <v>44135</v>
      </c>
      <c r="O20" s="5">
        <v>44222</v>
      </c>
      <c r="P20" s="4" t="s">
        <v>21</v>
      </c>
    </row>
    <row r="21" spans="1:16" x14ac:dyDescent="0.25">
      <c r="A21" s="4" t="s">
        <v>17</v>
      </c>
      <c r="B21" s="5">
        <v>44104</v>
      </c>
      <c r="C21" s="4" t="str">
        <f>"2022 / PA"</f>
        <v>2022 / PA</v>
      </c>
      <c r="D21" s="4">
        <v>3743035142</v>
      </c>
      <c r="E21" s="5">
        <v>44244</v>
      </c>
      <c r="F21" s="4">
        <v>70</v>
      </c>
      <c r="G21" s="4">
        <v>392</v>
      </c>
      <c r="H21" s="4" t="s">
        <v>58</v>
      </c>
      <c r="I21" s="4">
        <v>7947601006</v>
      </c>
      <c r="J21" s="4" t="s">
        <v>59</v>
      </c>
      <c r="K21" s="4" t="s">
        <v>60</v>
      </c>
      <c r="L21" s="4">
        <v>170.8</v>
      </c>
      <c r="M21" s="4">
        <v>140</v>
      </c>
      <c r="N21" s="5">
        <v>44134</v>
      </c>
      <c r="O21" s="5">
        <v>44287</v>
      </c>
      <c r="P21" s="4" t="s">
        <v>21</v>
      </c>
    </row>
    <row r="22" spans="1:16" x14ac:dyDescent="0.25">
      <c r="A22" s="4" t="s">
        <v>17</v>
      </c>
      <c r="B22" s="5">
        <v>44070</v>
      </c>
      <c r="C22" s="4" t="str">
        <f>"126PA"</f>
        <v>126PA</v>
      </c>
      <c r="D22" s="4">
        <v>3541109622</v>
      </c>
      <c r="E22" s="5">
        <v>44097</v>
      </c>
      <c r="F22" s="4">
        <v>347</v>
      </c>
      <c r="G22" s="4">
        <v>913</v>
      </c>
      <c r="H22" s="4" t="s">
        <v>61</v>
      </c>
      <c r="I22" s="4"/>
      <c r="J22" s="4" t="s">
        <v>62</v>
      </c>
      <c r="K22" s="4" t="s">
        <v>63</v>
      </c>
      <c r="L22" s="6">
        <v>1897.93</v>
      </c>
      <c r="M22" s="6">
        <v>1555.68</v>
      </c>
      <c r="N22" s="5">
        <v>44100</v>
      </c>
      <c r="O22" s="5">
        <v>44287</v>
      </c>
      <c r="P22" s="4" t="s">
        <v>21</v>
      </c>
    </row>
    <row r="23" spans="1:16" x14ac:dyDescent="0.25">
      <c r="A23" s="4" t="s">
        <v>17</v>
      </c>
      <c r="B23" s="5">
        <v>44067</v>
      </c>
      <c r="C23" s="4" t="str">
        <f>"54a20"</f>
        <v>54a20</v>
      </c>
      <c r="D23" s="4">
        <v>3529578953</v>
      </c>
      <c r="E23" s="5">
        <v>44076</v>
      </c>
      <c r="F23" s="4">
        <v>315</v>
      </c>
      <c r="G23" s="4">
        <v>1939</v>
      </c>
      <c r="H23" s="4" t="s">
        <v>64</v>
      </c>
      <c r="I23" s="4" t="s">
        <v>65</v>
      </c>
      <c r="J23" s="4" t="s">
        <v>66</v>
      </c>
      <c r="K23" s="4"/>
      <c r="L23" s="4">
        <v>85.4</v>
      </c>
      <c r="M23" s="4">
        <v>70</v>
      </c>
      <c r="N23" s="5">
        <v>44097</v>
      </c>
      <c r="O23" s="5">
        <v>44238</v>
      </c>
      <c r="P23" s="4" t="s">
        <v>21</v>
      </c>
    </row>
    <row r="24" spans="1:16" x14ac:dyDescent="0.25">
      <c r="A24" s="4" t="s">
        <v>17</v>
      </c>
      <c r="B24" s="5">
        <v>44043</v>
      </c>
      <c r="C24" s="4" t="str">
        <f>"1671 / PA"</f>
        <v>1671 / PA</v>
      </c>
      <c r="D24" s="4">
        <v>3405210720</v>
      </c>
      <c r="E24" s="5">
        <v>44244</v>
      </c>
      <c r="F24" s="4">
        <v>71</v>
      </c>
      <c r="G24" s="4">
        <v>392</v>
      </c>
      <c r="H24" s="4" t="s">
        <v>58</v>
      </c>
      <c r="I24" s="4">
        <v>7947601006</v>
      </c>
      <c r="J24" s="4" t="s">
        <v>59</v>
      </c>
      <c r="K24" s="4" t="s">
        <v>60</v>
      </c>
      <c r="L24" s="4">
        <v>170.8</v>
      </c>
      <c r="M24" s="4">
        <v>140</v>
      </c>
      <c r="N24" s="5">
        <v>44073</v>
      </c>
      <c r="O24" s="5">
        <v>44287</v>
      </c>
      <c r="P24" s="4" t="s">
        <v>21</v>
      </c>
    </row>
    <row r="25" spans="1:16" x14ac:dyDescent="0.25">
      <c r="A25" s="4" t="s">
        <v>17</v>
      </c>
      <c r="B25" s="5">
        <v>44027</v>
      </c>
      <c r="C25" s="4" t="str">
        <f>"12639/16/10"</f>
        <v>12639/16/10</v>
      </c>
      <c r="D25" s="4">
        <v>3318899311</v>
      </c>
      <c r="E25" s="5">
        <v>44165</v>
      </c>
      <c r="F25" s="4">
        <v>450</v>
      </c>
      <c r="G25" s="4">
        <v>286</v>
      </c>
      <c r="H25" s="4" t="s">
        <v>54</v>
      </c>
      <c r="I25" s="4"/>
      <c r="J25" s="4" t="s">
        <v>55</v>
      </c>
      <c r="K25" s="4" t="s">
        <v>67</v>
      </c>
      <c r="L25" s="4">
        <v>256.2</v>
      </c>
      <c r="M25" s="4">
        <v>210</v>
      </c>
      <c r="N25" s="5">
        <v>44057</v>
      </c>
      <c r="O25" s="5">
        <v>44327</v>
      </c>
      <c r="P25" s="4" t="s">
        <v>21</v>
      </c>
    </row>
    <row r="26" spans="1:16" x14ac:dyDescent="0.25">
      <c r="A26" s="4" t="s">
        <v>17</v>
      </c>
      <c r="B26" s="5">
        <v>44012</v>
      </c>
      <c r="C26" s="4" t="str">
        <f>"2040/200015923"</f>
        <v>2040/200015923</v>
      </c>
      <c r="D26" s="4">
        <v>3226311606</v>
      </c>
      <c r="E26" s="5">
        <v>44067</v>
      </c>
      <c r="F26" s="4">
        <v>307</v>
      </c>
      <c r="G26" s="4">
        <v>879</v>
      </c>
      <c r="H26" s="4" t="s">
        <v>68</v>
      </c>
      <c r="I26" s="4"/>
      <c r="J26" s="4" t="s">
        <v>69</v>
      </c>
      <c r="K26" s="4" t="s">
        <v>70</v>
      </c>
      <c r="L26" s="4">
        <v>468</v>
      </c>
      <c r="M26" s="4">
        <v>450</v>
      </c>
      <c r="N26" s="5">
        <v>44044</v>
      </c>
      <c r="O26" s="5">
        <v>44222</v>
      </c>
      <c r="P26" s="4" t="s">
        <v>21</v>
      </c>
    </row>
    <row r="27" spans="1:16" x14ac:dyDescent="0.25">
      <c r="A27" s="4" t="s">
        <v>17</v>
      </c>
      <c r="B27" s="5">
        <v>43982</v>
      </c>
      <c r="C27" s="4" t="str">
        <f>"42"</f>
        <v>42</v>
      </c>
      <c r="D27" s="4">
        <v>3123314062</v>
      </c>
      <c r="E27" s="5">
        <v>44013</v>
      </c>
      <c r="F27" s="4">
        <v>269</v>
      </c>
      <c r="G27" s="4">
        <v>1345</v>
      </c>
      <c r="H27" s="4" t="s">
        <v>71</v>
      </c>
      <c r="I27" s="4"/>
      <c r="J27" s="4" t="s">
        <v>72</v>
      </c>
      <c r="K27" s="4"/>
      <c r="L27" s="4">
        <v>233</v>
      </c>
      <c r="M27" s="4">
        <v>233</v>
      </c>
      <c r="N27" s="5">
        <v>44025</v>
      </c>
      <c r="O27" s="4"/>
      <c r="P27" s="4" t="s">
        <v>21</v>
      </c>
    </row>
    <row r="28" spans="1:16" x14ac:dyDescent="0.25">
      <c r="A28" s="4" t="s">
        <v>17</v>
      </c>
      <c r="B28" s="5">
        <v>43902</v>
      </c>
      <c r="C28" s="4" t="str">
        <f>"004020874402"</f>
        <v>004020874402</v>
      </c>
      <c r="D28" s="4">
        <v>2697128207</v>
      </c>
      <c r="E28" s="5">
        <v>43917</v>
      </c>
      <c r="F28" s="4">
        <v>150</v>
      </c>
      <c r="G28" s="4">
        <v>769</v>
      </c>
      <c r="H28" s="4" t="s">
        <v>73</v>
      </c>
      <c r="I28" s="4">
        <v>6655971007</v>
      </c>
      <c r="J28" s="4" t="s">
        <v>74</v>
      </c>
      <c r="K28" s="4"/>
      <c r="L28" s="4">
        <v>28.06</v>
      </c>
      <c r="M28" s="4">
        <v>23</v>
      </c>
      <c r="N28" s="5">
        <v>43934</v>
      </c>
      <c r="O28" s="4"/>
      <c r="P28" s="4" t="s">
        <v>21</v>
      </c>
    </row>
    <row r="29" spans="1:16" x14ac:dyDescent="0.25">
      <c r="A29" s="4" t="s">
        <v>17</v>
      </c>
      <c r="B29" s="5">
        <v>43890</v>
      </c>
      <c r="C29" s="4" t="str">
        <f>"12562"</f>
        <v>12562</v>
      </c>
      <c r="D29" s="4">
        <v>2675668291</v>
      </c>
      <c r="E29" s="5">
        <v>43917</v>
      </c>
      <c r="F29" s="4">
        <v>124</v>
      </c>
      <c r="G29" s="4">
        <v>1492</v>
      </c>
      <c r="H29" s="4" t="s">
        <v>75</v>
      </c>
      <c r="I29" s="4">
        <v>11629770154</v>
      </c>
      <c r="J29" s="4" t="s">
        <v>76</v>
      </c>
      <c r="K29" s="4" t="s">
        <v>77</v>
      </c>
      <c r="L29" s="6">
        <v>2045.43</v>
      </c>
      <c r="M29" s="6">
        <v>2028.96</v>
      </c>
      <c r="N29" s="5">
        <v>43931</v>
      </c>
      <c r="O29" s="4"/>
      <c r="P29" s="4" t="s">
        <v>21</v>
      </c>
    </row>
    <row r="30" spans="1:16" x14ac:dyDescent="0.25">
      <c r="A30" s="4" t="s">
        <v>17</v>
      </c>
      <c r="B30" s="5">
        <v>43889</v>
      </c>
      <c r="C30" s="4" t="str">
        <f>"18"</f>
        <v>18</v>
      </c>
      <c r="D30" s="4">
        <v>2638327800</v>
      </c>
      <c r="E30" s="5">
        <v>43916</v>
      </c>
      <c r="F30" s="4">
        <v>123</v>
      </c>
      <c r="G30" s="4">
        <v>1946</v>
      </c>
      <c r="H30" s="4" t="s">
        <v>78</v>
      </c>
      <c r="I30" s="4">
        <v>854480944</v>
      </c>
      <c r="J30" s="4" t="s">
        <v>79</v>
      </c>
      <c r="K30" s="4"/>
      <c r="L30" s="6">
        <v>21663.15</v>
      </c>
      <c r="M30" s="6">
        <v>9500.4500000000007</v>
      </c>
      <c r="N30" s="5">
        <v>43926</v>
      </c>
      <c r="O30" s="5">
        <v>44230</v>
      </c>
      <c r="P30" s="4" t="s">
        <v>21</v>
      </c>
    </row>
    <row r="31" spans="1:16" x14ac:dyDescent="0.25">
      <c r="A31" s="4" t="s">
        <v>17</v>
      </c>
      <c r="B31" s="5">
        <v>43868</v>
      </c>
      <c r="C31" s="4" t="str">
        <f>"8720016707"</f>
        <v>8720016707</v>
      </c>
      <c r="D31" s="4">
        <v>2468856394</v>
      </c>
      <c r="E31" s="5">
        <v>43874</v>
      </c>
      <c r="F31" s="4">
        <v>91</v>
      </c>
      <c r="G31" s="4">
        <v>695</v>
      </c>
      <c r="H31" s="4" t="s">
        <v>80</v>
      </c>
      <c r="I31" s="4">
        <v>97103880585</v>
      </c>
      <c r="J31" s="4" t="s">
        <v>81</v>
      </c>
      <c r="K31" s="4" t="s">
        <v>82</v>
      </c>
      <c r="L31" s="4">
        <v>8.51</v>
      </c>
      <c r="M31" s="4">
        <v>8.51</v>
      </c>
      <c r="N31" s="5">
        <v>43901</v>
      </c>
      <c r="O31" s="5">
        <v>44258</v>
      </c>
      <c r="P31" s="4" t="s">
        <v>21</v>
      </c>
    </row>
    <row r="32" spans="1:16" x14ac:dyDescent="0.25">
      <c r="A32" s="4" t="s">
        <v>17</v>
      </c>
      <c r="B32" s="5">
        <v>43851</v>
      </c>
      <c r="C32" s="4" t="str">
        <f>"8720005754"</f>
        <v>8720005754</v>
      </c>
      <c r="D32" s="4">
        <v>2367856078</v>
      </c>
      <c r="E32" s="5">
        <v>43866</v>
      </c>
      <c r="F32" s="4">
        <v>61</v>
      </c>
      <c r="G32" s="4">
        <v>695</v>
      </c>
      <c r="H32" s="4" t="s">
        <v>80</v>
      </c>
      <c r="I32" s="4">
        <v>97103880585</v>
      </c>
      <c r="J32" s="4" t="s">
        <v>81</v>
      </c>
      <c r="K32" s="4" t="s">
        <v>83</v>
      </c>
      <c r="L32" s="4">
        <v>50.03</v>
      </c>
      <c r="M32" s="4">
        <v>50.03</v>
      </c>
      <c r="N32" s="5">
        <v>43881</v>
      </c>
      <c r="O32" s="5">
        <v>44258</v>
      </c>
      <c r="P32" s="4" t="s">
        <v>21</v>
      </c>
    </row>
    <row r="33" spans="1:16" x14ac:dyDescent="0.25">
      <c r="A33" s="4" t="s">
        <v>17</v>
      </c>
      <c r="B33" s="5">
        <v>43840</v>
      </c>
      <c r="C33" s="4" t="str">
        <f>"8P00009591"</f>
        <v>8P00009591</v>
      </c>
      <c r="D33" s="4">
        <v>2355579564</v>
      </c>
      <c r="E33" s="5">
        <v>43851</v>
      </c>
      <c r="F33" s="4">
        <v>53</v>
      </c>
      <c r="G33" s="4">
        <v>461</v>
      </c>
      <c r="H33" s="4" t="s">
        <v>37</v>
      </c>
      <c r="I33" s="4">
        <v>488410010</v>
      </c>
      <c r="J33" s="4" t="s">
        <v>38</v>
      </c>
      <c r="K33" s="4" t="s">
        <v>84</v>
      </c>
      <c r="L33" s="4">
        <v>147.29</v>
      </c>
      <c r="M33" s="4">
        <v>121.59</v>
      </c>
      <c r="N33" s="5">
        <v>43878</v>
      </c>
      <c r="O33" s="5">
        <v>44242</v>
      </c>
      <c r="P33" s="4" t="s">
        <v>21</v>
      </c>
    </row>
    <row r="34" spans="1:16" x14ac:dyDescent="0.25">
      <c r="A34" s="4" t="s">
        <v>17</v>
      </c>
      <c r="B34" s="5">
        <v>43840</v>
      </c>
      <c r="C34" s="4" t="str">
        <f>"8P00010447"</f>
        <v>8P00010447</v>
      </c>
      <c r="D34" s="4">
        <v>2355585798</v>
      </c>
      <c r="E34" s="5">
        <v>43851</v>
      </c>
      <c r="F34" s="4">
        <v>54</v>
      </c>
      <c r="G34" s="4">
        <v>461</v>
      </c>
      <c r="H34" s="4" t="s">
        <v>37</v>
      </c>
      <c r="I34" s="4">
        <v>488410010</v>
      </c>
      <c r="J34" s="4" t="s">
        <v>38</v>
      </c>
      <c r="K34" s="4" t="s">
        <v>84</v>
      </c>
      <c r="L34" s="4">
        <v>298.56</v>
      </c>
      <c r="M34" s="4">
        <v>246.33</v>
      </c>
      <c r="N34" s="5">
        <v>43878</v>
      </c>
      <c r="O34" s="5">
        <v>44242</v>
      </c>
      <c r="P34" s="4" t="s">
        <v>21</v>
      </c>
    </row>
    <row r="35" spans="1:16" x14ac:dyDescent="0.25">
      <c r="A35" s="4" t="s">
        <v>23</v>
      </c>
      <c r="B35" s="5">
        <v>43830</v>
      </c>
      <c r="C35" s="4" t="str">
        <f>"114879"</f>
        <v>114879</v>
      </c>
      <c r="D35" s="4">
        <v>2299647530</v>
      </c>
      <c r="E35" s="5">
        <v>43830</v>
      </c>
      <c r="F35" s="4">
        <v>950</v>
      </c>
      <c r="G35" s="4">
        <v>1492</v>
      </c>
      <c r="H35" s="4" t="s">
        <v>75</v>
      </c>
      <c r="I35" s="4">
        <v>11629770154</v>
      </c>
      <c r="J35" s="4" t="s">
        <v>76</v>
      </c>
      <c r="K35" s="4" t="s">
        <v>85</v>
      </c>
      <c r="L35" s="6">
        <v>-2065.4299999999998</v>
      </c>
      <c r="M35" s="6">
        <v>-2048.96</v>
      </c>
      <c r="N35" s="5">
        <v>43870</v>
      </c>
      <c r="O35" s="4"/>
      <c r="P35" s="4" t="s">
        <v>21</v>
      </c>
    </row>
    <row r="36" spans="1:16" x14ac:dyDescent="0.25">
      <c r="A36" s="4" t="s">
        <v>23</v>
      </c>
      <c r="B36" s="5">
        <v>43791</v>
      </c>
      <c r="C36" s="4" t="str">
        <f>"95231"</f>
        <v>95231</v>
      </c>
      <c r="D36" s="4">
        <v>2008623697</v>
      </c>
      <c r="E36" s="5">
        <v>43797</v>
      </c>
      <c r="F36" s="4">
        <v>930</v>
      </c>
      <c r="G36" s="4">
        <v>1492</v>
      </c>
      <c r="H36" s="4" t="s">
        <v>75</v>
      </c>
      <c r="I36" s="4">
        <v>11629770154</v>
      </c>
      <c r="J36" s="4" t="s">
        <v>76</v>
      </c>
      <c r="K36" s="4" t="s">
        <v>86</v>
      </c>
      <c r="L36" s="6">
        <v>-2242.14</v>
      </c>
      <c r="M36" s="6">
        <v>-2224.2399999999998</v>
      </c>
      <c r="N36" s="5">
        <v>43821</v>
      </c>
      <c r="O36" s="4"/>
      <c r="P36" s="4" t="s">
        <v>21</v>
      </c>
    </row>
    <row r="37" spans="1:16" x14ac:dyDescent="0.25">
      <c r="A37" s="4" t="s">
        <v>17</v>
      </c>
      <c r="B37" s="5">
        <v>43789</v>
      </c>
      <c r="C37" s="4" t="str">
        <f>"BT2019119027"</f>
        <v>BT2019119027</v>
      </c>
      <c r="D37" s="4">
        <v>2004503621</v>
      </c>
      <c r="E37" s="5">
        <v>43797</v>
      </c>
      <c r="F37" s="4">
        <v>925</v>
      </c>
      <c r="G37" s="4">
        <v>44</v>
      </c>
      <c r="H37" s="4" t="s">
        <v>18</v>
      </c>
      <c r="I37" s="4">
        <v>1636590661</v>
      </c>
      <c r="J37" s="4" t="s">
        <v>19</v>
      </c>
      <c r="K37" s="4" t="s">
        <v>87</v>
      </c>
      <c r="L37" s="4">
        <v>90.41</v>
      </c>
      <c r="M37" s="4">
        <v>74.11</v>
      </c>
      <c r="N37" s="5">
        <v>43820</v>
      </c>
      <c r="O37" s="5">
        <v>44222</v>
      </c>
      <c r="P37" s="4" t="s">
        <v>21</v>
      </c>
    </row>
    <row r="38" spans="1:16" x14ac:dyDescent="0.25">
      <c r="A38" s="4" t="s">
        <v>17</v>
      </c>
      <c r="B38" s="5">
        <v>43773</v>
      </c>
      <c r="C38" s="4" t="str">
        <f>"8719329906"</f>
        <v>8719329906</v>
      </c>
      <c r="D38" s="4">
        <v>1889717294</v>
      </c>
      <c r="E38" s="5">
        <v>43780</v>
      </c>
      <c r="F38" s="4">
        <v>896</v>
      </c>
      <c r="G38" s="4">
        <v>695</v>
      </c>
      <c r="H38" s="4" t="s">
        <v>80</v>
      </c>
      <c r="I38" s="4">
        <v>97103880585</v>
      </c>
      <c r="J38" s="4" t="s">
        <v>81</v>
      </c>
      <c r="K38" s="4" t="s">
        <v>88</v>
      </c>
      <c r="L38" s="4">
        <v>549.92999999999995</v>
      </c>
      <c r="M38" s="4">
        <v>549.92999999999995</v>
      </c>
      <c r="N38" s="5">
        <v>43803</v>
      </c>
      <c r="O38" s="5">
        <v>44258</v>
      </c>
      <c r="P38" s="4" t="s">
        <v>21</v>
      </c>
    </row>
    <row r="39" spans="1:16" x14ac:dyDescent="0.25">
      <c r="A39" s="4" t="s">
        <v>17</v>
      </c>
      <c r="B39" s="5">
        <v>43769</v>
      </c>
      <c r="C39" s="4" t="str">
        <f>"91003"</f>
        <v>91003</v>
      </c>
      <c r="D39" s="4">
        <v>1951105208</v>
      </c>
      <c r="E39" s="5">
        <v>43790</v>
      </c>
      <c r="F39" s="4">
        <v>919</v>
      </c>
      <c r="G39" s="4">
        <v>1492</v>
      </c>
      <c r="H39" s="4" t="s">
        <v>75</v>
      </c>
      <c r="I39" s="4">
        <v>11629770154</v>
      </c>
      <c r="J39" s="4" t="s">
        <v>76</v>
      </c>
      <c r="K39" s="4" t="s">
        <v>89</v>
      </c>
      <c r="L39" s="6">
        <v>2242.14</v>
      </c>
      <c r="M39" s="6">
        <v>2224.2399999999998</v>
      </c>
      <c r="N39" s="5">
        <v>43810</v>
      </c>
      <c r="O39" s="4"/>
      <c r="P39" s="4" t="s">
        <v>21</v>
      </c>
    </row>
    <row r="40" spans="1:16" x14ac:dyDescent="0.25">
      <c r="A40" s="4" t="s">
        <v>23</v>
      </c>
      <c r="B40" s="5">
        <v>43713</v>
      </c>
      <c r="C40" s="4" t="str">
        <f>"1519000395"</f>
        <v>1519000395</v>
      </c>
      <c r="D40" s="4">
        <v>1548125637</v>
      </c>
      <c r="E40" s="5">
        <v>43717</v>
      </c>
      <c r="F40" s="4">
        <v>811</v>
      </c>
      <c r="G40" s="4">
        <v>174</v>
      </c>
      <c r="H40" s="4" t="s">
        <v>90</v>
      </c>
      <c r="I40" s="4">
        <v>1336610587</v>
      </c>
      <c r="J40" s="4" t="s">
        <v>91</v>
      </c>
      <c r="K40" s="4" t="s">
        <v>92</v>
      </c>
      <c r="L40" s="4">
        <v>-109.47</v>
      </c>
      <c r="M40" s="4">
        <v>-109.47</v>
      </c>
      <c r="N40" s="5">
        <v>43744</v>
      </c>
      <c r="O40" s="5">
        <v>44355</v>
      </c>
      <c r="P40" s="4" t="s">
        <v>21</v>
      </c>
    </row>
    <row r="41" spans="1:16" x14ac:dyDescent="0.25">
      <c r="A41" s="4" t="s">
        <v>17</v>
      </c>
      <c r="B41" s="5">
        <v>43713</v>
      </c>
      <c r="C41" s="4" t="str">
        <f>"1619029156"</f>
        <v>1619029156</v>
      </c>
      <c r="D41" s="4">
        <v>1548125908</v>
      </c>
      <c r="E41" s="5">
        <v>43717</v>
      </c>
      <c r="F41" s="4">
        <v>812</v>
      </c>
      <c r="G41" s="4">
        <v>174</v>
      </c>
      <c r="H41" s="4" t="s">
        <v>90</v>
      </c>
      <c r="I41" s="4">
        <v>1336610587</v>
      </c>
      <c r="J41" s="4" t="s">
        <v>91</v>
      </c>
      <c r="K41" s="4" t="s">
        <v>92</v>
      </c>
      <c r="L41" s="4">
        <v>133.84</v>
      </c>
      <c r="M41" s="4">
        <v>111.47</v>
      </c>
      <c r="N41" s="5">
        <v>43744</v>
      </c>
      <c r="O41" s="5">
        <v>44355</v>
      </c>
      <c r="P41" s="4" t="s">
        <v>21</v>
      </c>
    </row>
    <row r="42" spans="1:16" x14ac:dyDescent="0.25">
      <c r="A42" s="4" t="s">
        <v>17</v>
      </c>
      <c r="B42" s="5">
        <v>43650</v>
      </c>
      <c r="C42" s="4" t="str">
        <f>"104/03"</f>
        <v>104/03</v>
      </c>
      <c r="D42" s="4">
        <v>1187377333</v>
      </c>
      <c r="E42" s="5">
        <v>44468</v>
      </c>
      <c r="F42" s="4">
        <v>362</v>
      </c>
      <c r="G42" s="4">
        <v>1050</v>
      </c>
      <c r="H42" s="4" t="s">
        <v>93</v>
      </c>
      <c r="I42" s="4"/>
      <c r="J42" s="4" t="s">
        <v>94</v>
      </c>
      <c r="K42" s="4" t="s">
        <v>95</v>
      </c>
      <c r="L42" s="6">
        <v>2399.9899999999998</v>
      </c>
      <c r="M42" s="6">
        <v>2285.6999999999998</v>
      </c>
      <c r="N42" s="5">
        <v>43650</v>
      </c>
      <c r="O42" s="5">
        <v>44476</v>
      </c>
      <c r="P42" s="4" t="s">
        <v>21</v>
      </c>
    </row>
    <row r="43" spans="1:16" x14ac:dyDescent="0.25">
      <c r="A43" s="4" t="s">
        <v>17</v>
      </c>
      <c r="B43" s="5">
        <v>43623</v>
      </c>
      <c r="C43" s="4" t="str">
        <f>"87/03"</f>
        <v>87/03</v>
      </c>
      <c r="D43" s="4">
        <v>1052395657</v>
      </c>
      <c r="E43" s="5">
        <v>43635</v>
      </c>
      <c r="F43" s="4">
        <v>226</v>
      </c>
      <c r="G43" s="4">
        <v>1050</v>
      </c>
      <c r="H43" s="4" t="s">
        <v>93</v>
      </c>
      <c r="I43" s="4"/>
      <c r="J43" s="4" t="s">
        <v>94</v>
      </c>
      <c r="K43" s="4" t="s">
        <v>96</v>
      </c>
      <c r="L43" s="6">
        <v>2479.98</v>
      </c>
      <c r="M43" s="6">
        <v>2361.89</v>
      </c>
      <c r="N43" s="5">
        <v>43657</v>
      </c>
      <c r="O43" s="5">
        <v>44287</v>
      </c>
      <c r="P43" s="4" t="s">
        <v>21</v>
      </c>
    </row>
    <row r="44" spans="1:16" x14ac:dyDescent="0.25">
      <c r="A44" s="4" t="s">
        <v>17</v>
      </c>
      <c r="B44" s="5">
        <v>43595</v>
      </c>
      <c r="C44" s="4" t="str">
        <f>"70/03"</f>
        <v>70/03</v>
      </c>
      <c r="D44" s="4">
        <v>872267048</v>
      </c>
      <c r="E44" s="5">
        <v>43601</v>
      </c>
      <c r="F44" s="4">
        <v>168</v>
      </c>
      <c r="G44" s="4">
        <v>1050</v>
      </c>
      <c r="H44" s="4" t="s">
        <v>93</v>
      </c>
      <c r="I44" s="4"/>
      <c r="J44" s="4" t="s">
        <v>94</v>
      </c>
      <c r="K44" s="4" t="s">
        <v>97</v>
      </c>
      <c r="L44" s="6">
        <v>2479.98</v>
      </c>
      <c r="M44" s="6">
        <v>2361.89</v>
      </c>
      <c r="N44" s="5">
        <v>43598</v>
      </c>
      <c r="O44" s="5">
        <v>44287</v>
      </c>
      <c r="P44" s="4" t="s">
        <v>21</v>
      </c>
    </row>
    <row r="45" spans="1:16" x14ac:dyDescent="0.25">
      <c r="A45" s="4" t="s">
        <v>17</v>
      </c>
      <c r="B45" s="5">
        <v>43595</v>
      </c>
      <c r="C45" s="4" t="str">
        <f>"71/03"</f>
        <v>71/03</v>
      </c>
      <c r="D45" s="4">
        <v>872280853</v>
      </c>
      <c r="E45" s="5">
        <v>43601</v>
      </c>
      <c r="F45" s="4">
        <v>169</v>
      </c>
      <c r="G45" s="4">
        <v>1050</v>
      </c>
      <c r="H45" s="4" t="s">
        <v>93</v>
      </c>
      <c r="I45" s="4"/>
      <c r="J45" s="4" t="s">
        <v>94</v>
      </c>
      <c r="K45" s="4" t="s">
        <v>98</v>
      </c>
      <c r="L45" s="6">
        <v>2399.9899999999998</v>
      </c>
      <c r="M45" s="6">
        <v>2285.6999999999998</v>
      </c>
      <c r="N45" s="5">
        <v>43598</v>
      </c>
      <c r="O45" s="5">
        <v>44287</v>
      </c>
      <c r="P45" s="4" t="s">
        <v>21</v>
      </c>
    </row>
    <row r="46" spans="1:16" x14ac:dyDescent="0.25">
      <c r="A46" s="4" t="s">
        <v>17</v>
      </c>
      <c r="B46" s="5">
        <v>43553</v>
      </c>
      <c r="C46" s="4" t="str">
        <f>"52/PA"</f>
        <v>52/PA</v>
      </c>
      <c r="D46" s="4">
        <v>595370595</v>
      </c>
      <c r="E46" s="5">
        <v>43558</v>
      </c>
      <c r="F46" s="4">
        <v>121</v>
      </c>
      <c r="G46" s="4">
        <v>1</v>
      </c>
      <c r="H46" s="4" t="s">
        <v>99</v>
      </c>
      <c r="I46" s="4">
        <v>1275240586</v>
      </c>
      <c r="J46" s="4" t="s">
        <v>100</v>
      </c>
      <c r="K46" s="4" t="s">
        <v>101</v>
      </c>
      <c r="L46" s="6">
        <v>2500</v>
      </c>
      <c r="M46" s="6">
        <v>2049.1799999999998</v>
      </c>
      <c r="N46" s="5">
        <v>43583</v>
      </c>
      <c r="O46" s="4"/>
      <c r="P46" s="4" t="s">
        <v>21</v>
      </c>
    </row>
    <row r="47" spans="1:16" x14ac:dyDescent="0.25">
      <c r="A47" s="4" t="s">
        <v>17</v>
      </c>
      <c r="B47" s="5">
        <v>43507</v>
      </c>
      <c r="C47" s="4" t="str">
        <f>"1-2019"</f>
        <v>1-2019</v>
      </c>
      <c r="D47" s="4">
        <v>350087343</v>
      </c>
      <c r="E47" s="5">
        <v>43601</v>
      </c>
      <c r="F47" s="4">
        <v>190</v>
      </c>
      <c r="G47" s="4">
        <v>534</v>
      </c>
      <c r="H47" s="4" t="s">
        <v>102</v>
      </c>
      <c r="I47" s="4"/>
      <c r="J47" s="4" t="s">
        <v>103</v>
      </c>
      <c r="K47" s="4"/>
      <c r="L47" s="6">
        <v>8374</v>
      </c>
      <c r="M47" s="6">
        <v>8374</v>
      </c>
      <c r="N47" s="5">
        <v>43541</v>
      </c>
      <c r="O47" s="4"/>
      <c r="P47" s="4" t="s">
        <v>21</v>
      </c>
    </row>
    <row r="48" spans="1:16" x14ac:dyDescent="0.25">
      <c r="A48" s="4" t="s">
        <v>17</v>
      </c>
      <c r="B48" s="5">
        <v>43500</v>
      </c>
      <c r="C48" s="4" t="str">
        <f>"8719029344"</f>
        <v>8719029344</v>
      </c>
      <c r="D48" s="4">
        <v>270881586</v>
      </c>
      <c r="E48" s="5">
        <v>43504</v>
      </c>
      <c r="F48" s="4">
        <v>50</v>
      </c>
      <c r="G48" s="4">
        <v>695</v>
      </c>
      <c r="H48" s="4" t="s">
        <v>80</v>
      </c>
      <c r="I48" s="4">
        <v>97103880585</v>
      </c>
      <c r="J48" s="4" t="s">
        <v>81</v>
      </c>
      <c r="K48" s="4" t="s">
        <v>104</v>
      </c>
      <c r="L48" s="4">
        <v>606.04999999999995</v>
      </c>
      <c r="M48" s="4">
        <v>606.04999999999995</v>
      </c>
      <c r="N48" s="5">
        <v>43554</v>
      </c>
      <c r="O48" s="4"/>
      <c r="P48" s="4" t="s">
        <v>21</v>
      </c>
    </row>
    <row r="49" spans="1:16" x14ac:dyDescent="0.25">
      <c r="A49" s="4" t="s">
        <v>17</v>
      </c>
      <c r="B49" s="5">
        <v>43483</v>
      </c>
      <c r="C49" s="4" t="str">
        <f>"7"</f>
        <v>7</v>
      </c>
      <c r="D49" s="4">
        <v>184367902</v>
      </c>
      <c r="E49" s="5">
        <v>43486</v>
      </c>
      <c r="F49" s="4">
        <v>20</v>
      </c>
      <c r="G49" s="4">
        <v>1480</v>
      </c>
      <c r="H49" s="4" t="s">
        <v>105</v>
      </c>
      <c r="I49" s="4"/>
      <c r="J49" s="4" t="s">
        <v>106</v>
      </c>
      <c r="K49" s="4"/>
      <c r="L49" s="4">
        <v>176.9</v>
      </c>
      <c r="M49" s="4">
        <v>145</v>
      </c>
      <c r="N49" s="5">
        <v>43483</v>
      </c>
      <c r="O49" s="5">
        <v>44287</v>
      </c>
      <c r="P49" s="4" t="s">
        <v>21</v>
      </c>
    </row>
    <row r="50" spans="1:16" x14ac:dyDescent="0.25">
      <c r="A50" s="4" t="s">
        <v>17</v>
      </c>
      <c r="B50" s="5">
        <v>43465</v>
      </c>
      <c r="C50" s="4" t="str">
        <f>"18063/16/10"</f>
        <v>18063/16/10</v>
      </c>
      <c r="D50" s="4">
        <v>193087241</v>
      </c>
      <c r="E50" s="5">
        <v>43495</v>
      </c>
      <c r="F50" s="4">
        <v>44</v>
      </c>
      <c r="G50" s="4">
        <v>286</v>
      </c>
      <c r="H50" s="4" t="s">
        <v>54</v>
      </c>
      <c r="I50" s="4"/>
      <c r="J50" s="4" t="s">
        <v>55</v>
      </c>
      <c r="K50" s="4" t="s">
        <v>107</v>
      </c>
      <c r="L50" s="4">
        <v>652.15</v>
      </c>
      <c r="M50" s="4">
        <v>238.83</v>
      </c>
      <c r="N50" s="5">
        <v>43496</v>
      </c>
      <c r="O50" s="5">
        <v>44364</v>
      </c>
      <c r="P50" s="4" t="s">
        <v>21</v>
      </c>
    </row>
    <row r="51" spans="1:16" x14ac:dyDescent="0.25">
      <c r="A51" s="4" t="s">
        <v>17</v>
      </c>
      <c r="B51" s="5">
        <v>43437</v>
      </c>
      <c r="C51" s="4" t="str">
        <f>"181/03"</f>
        <v>181/03</v>
      </c>
      <c r="D51" s="4">
        <v>132329044</v>
      </c>
      <c r="E51" s="5">
        <v>43445</v>
      </c>
      <c r="F51" s="4">
        <v>460</v>
      </c>
      <c r="G51" s="4">
        <v>1050</v>
      </c>
      <c r="H51" s="4" t="s">
        <v>93</v>
      </c>
      <c r="I51" s="4"/>
      <c r="J51" s="4" t="s">
        <v>94</v>
      </c>
      <c r="K51" s="4" t="s">
        <v>108</v>
      </c>
      <c r="L51" s="6">
        <v>2399.9899999999998</v>
      </c>
      <c r="M51" s="6">
        <v>1656.89</v>
      </c>
      <c r="N51" s="5">
        <v>43474</v>
      </c>
      <c r="O51" s="5">
        <v>44230</v>
      </c>
      <c r="P51" s="4" t="s">
        <v>21</v>
      </c>
    </row>
    <row r="52" spans="1:16" x14ac:dyDescent="0.25">
      <c r="A52" s="4" t="s">
        <v>17</v>
      </c>
      <c r="B52" s="5">
        <v>43437</v>
      </c>
      <c r="C52" s="4" t="str">
        <f>"181/03"</f>
        <v>181/03</v>
      </c>
      <c r="D52" s="4">
        <v>132329044</v>
      </c>
      <c r="E52" s="5">
        <v>43445</v>
      </c>
      <c r="F52" s="4">
        <v>460</v>
      </c>
      <c r="G52" s="4">
        <v>1050</v>
      </c>
      <c r="H52" s="4" t="s">
        <v>93</v>
      </c>
      <c r="I52" s="4"/>
      <c r="J52" s="4" t="s">
        <v>94</v>
      </c>
      <c r="K52" s="4" t="s">
        <v>108</v>
      </c>
      <c r="L52" s="6">
        <v>2399.9899999999998</v>
      </c>
      <c r="M52" s="4">
        <v>628.82000000000005</v>
      </c>
      <c r="N52" s="5">
        <v>43474</v>
      </c>
      <c r="O52" s="5">
        <v>44222</v>
      </c>
      <c r="P52" s="4" t="s">
        <v>21</v>
      </c>
    </row>
    <row r="53" spans="1:16" x14ac:dyDescent="0.25">
      <c r="A53" s="4" t="s">
        <v>17</v>
      </c>
      <c r="B53" s="5">
        <v>43409</v>
      </c>
      <c r="C53" s="4" t="str">
        <f>"175/03"</f>
        <v>175/03</v>
      </c>
      <c r="D53" s="4">
        <v>127012821</v>
      </c>
      <c r="E53" s="5">
        <v>43426</v>
      </c>
      <c r="F53" s="4">
        <v>442</v>
      </c>
      <c r="G53" s="4">
        <v>1050</v>
      </c>
      <c r="H53" s="4" t="s">
        <v>93</v>
      </c>
      <c r="I53" s="4"/>
      <c r="J53" s="4" t="s">
        <v>94</v>
      </c>
      <c r="K53" s="4" t="s">
        <v>109</v>
      </c>
      <c r="L53" s="6">
        <v>2479.98</v>
      </c>
      <c r="M53" s="6">
        <v>2361.89</v>
      </c>
      <c r="N53" s="5">
        <v>43446</v>
      </c>
      <c r="O53" s="5">
        <v>44222</v>
      </c>
      <c r="P53" s="4" t="s">
        <v>21</v>
      </c>
    </row>
    <row r="54" spans="1:16" x14ac:dyDescent="0.25">
      <c r="A54" s="4" t="s">
        <v>17</v>
      </c>
      <c r="B54" s="5">
        <v>43360</v>
      </c>
      <c r="C54" s="4" t="str">
        <f>"14424"</f>
        <v>14424</v>
      </c>
      <c r="D54" s="4">
        <v>119294590</v>
      </c>
      <c r="E54" s="5">
        <v>43363</v>
      </c>
      <c r="F54" s="4">
        <v>362</v>
      </c>
      <c r="G54" s="4">
        <v>408</v>
      </c>
      <c r="H54" s="4" t="s">
        <v>110</v>
      </c>
      <c r="I54" s="4">
        <v>89070403</v>
      </c>
      <c r="J54" s="4" t="s">
        <v>111</v>
      </c>
      <c r="K54" s="4"/>
      <c r="L54" s="4">
        <v>178.94</v>
      </c>
      <c r="M54" s="4">
        <v>157</v>
      </c>
      <c r="N54" s="5">
        <v>43390</v>
      </c>
      <c r="O54" s="5">
        <v>44287</v>
      </c>
      <c r="P54" s="4" t="s">
        <v>21</v>
      </c>
    </row>
    <row r="55" spans="1:16" x14ac:dyDescent="0.25">
      <c r="A55" s="4" t="s">
        <v>17</v>
      </c>
      <c r="B55" s="5">
        <v>43292</v>
      </c>
      <c r="C55" s="4" t="str">
        <f>"411805884897"</f>
        <v>411805884897</v>
      </c>
      <c r="D55" s="4">
        <v>110509142</v>
      </c>
      <c r="E55" s="5">
        <v>43322</v>
      </c>
      <c r="F55" s="4">
        <v>285</v>
      </c>
      <c r="G55" s="4">
        <v>804</v>
      </c>
      <c r="H55" s="4" t="s">
        <v>43</v>
      </c>
      <c r="I55" s="4">
        <v>2221101203</v>
      </c>
      <c r="J55" s="4" t="s">
        <v>44</v>
      </c>
      <c r="K55" s="4" t="s">
        <v>45</v>
      </c>
      <c r="L55" s="4">
        <v>91.97</v>
      </c>
      <c r="M55" s="4">
        <v>75.56</v>
      </c>
      <c r="N55" s="5">
        <v>43343</v>
      </c>
      <c r="O55" s="4"/>
      <c r="P55" s="4" t="s">
        <v>21</v>
      </c>
    </row>
    <row r="56" spans="1:16" x14ac:dyDescent="0.25">
      <c r="A56" s="4" t="s">
        <v>17</v>
      </c>
      <c r="B56" s="5">
        <v>43168</v>
      </c>
      <c r="C56" s="4" t="str">
        <f>"411802167110"</f>
        <v>411802167110</v>
      </c>
      <c r="D56" s="4">
        <v>98311138</v>
      </c>
      <c r="E56" s="5">
        <v>43179</v>
      </c>
      <c r="F56" s="4">
        <v>112</v>
      </c>
      <c r="G56" s="4">
        <v>804</v>
      </c>
      <c r="H56" s="4" t="s">
        <v>43</v>
      </c>
      <c r="I56" s="4">
        <v>2221101203</v>
      </c>
      <c r="J56" s="4" t="s">
        <v>44</v>
      </c>
      <c r="K56" s="4" t="s">
        <v>45</v>
      </c>
      <c r="L56" s="4">
        <v>53.36</v>
      </c>
      <c r="M56" s="4">
        <v>44.55</v>
      </c>
      <c r="N56" s="4"/>
      <c r="O56" s="4"/>
      <c r="P56" s="4" t="s">
        <v>21</v>
      </c>
    </row>
    <row r="57" spans="1:16" x14ac:dyDescent="0.25">
      <c r="A57" s="4" t="s">
        <v>17</v>
      </c>
      <c r="B57" s="5">
        <v>43158</v>
      </c>
      <c r="C57" s="4" t="str">
        <f>"2"</f>
        <v>2</v>
      </c>
      <c r="D57" s="4">
        <v>96557680</v>
      </c>
      <c r="E57" s="5">
        <v>43164</v>
      </c>
      <c r="F57" s="4">
        <v>85</v>
      </c>
      <c r="G57" s="4">
        <v>898</v>
      </c>
      <c r="H57" s="4" t="s">
        <v>112</v>
      </c>
      <c r="I57" s="4" t="s">
        <v>113</v>
      </c>
      <c r="J57" s="4" t="s">
        <v>114</v>
      </c>
      <c r="K57" s="4" t="s">
        <v>115</v>
      </c>
      <c r="L57" s="4">
        <v>705.46</v>
      </c>
      <c r="M57" s="4">
        <v>705.46</v>
      </c>
      <c r="N57" s="4"/>
      <c r="O57" s="4"/>
      <c r="P57" s="4" t="s">
        <v>21</v>
      </c>
    </row>
    <row r="58" spans="1:16" x14ac:dyDescent="0.25">
      <c r="A58" s="4" t="s">
        <v>17</v>
      </c>
      <c r="B58" s="5">
        <v>43129</v>
      </c>
      <c r="C58" s="4" t="str">
        <f>"36/PA"</f>
        <v>36/PA</v>
      </c>
      <c r="D58" s="4">
        <v>94581327</v>
      </c>
      <c r="E58" s="5">
        <v>43140</v>
      </c>
      <c r="F58" s="4">
        <v>54</v>
      </c>
      <c r="G58" s="4">
        <v>1</v>
      </c>
      <c r="H58" s="4" t="s">
        <v>99</v>
      </c>
      <c r="I58" s="4">
        <v>1275240586</v>
      </c>
      <c r="J58" s="4" t="s">
        <v>100</v>
      </c>
      <c r="K58" s="4" t="s">
        <v>116</v>
      </c>
      <c r="L58" s="6">
        <v>2500</v>
      </c>
      <c r="M58" s="6">
        <v>2049.1799999999998</v>
      </c>
      <c r="N58" s="5">
        <v>43167</v>
      </c>
      <c r="O58" s="5">
        <v>44306</v>
      </c>
      <c r="P58" s="4" t="s">
        <v>21</v>
      </c>
    </row>
    <row r="59" spans="1:16" x14ac:dyDescent="0.25">
      <c r="A59" s="4" t="s">
        <v>17</v>
      </c>
      <c r="B59" s="5">
        <v>43109</v>
      </c>
      <c r="C59" s="4" t="str">
        <f>"1618000900"</f>
        <v>1618000900</v>
      </c>
      <c r="D59" s="4">
        <v>92045762</v>
      </c>
      <c r="E59" s="5">
        <v>43140</v>
      </c>
      <c r="F59" s="4">
        <v>32</v>
      </c>
      <c r="G59" s="4">
        <v>174</v>
      </c>
      <c r="H59" s="4" t="s">
        <v>90</v>
      </c>
      <c r="I59" s="4">
        <v>1336610587</v>
      </c>
      <c r="J59" s="4" t="s">
        <v>91</v>
      </c>
      <c r="K59" s="4"/>
      <c r="L59" s="4">
        <v>109.47</v>
      </c>
      <c r="M59" s="4">
        <v>109.47</v>
      </c>
      <c r="N59" s="5">
        <v>43141</v>
      </c>
      <c r="O59" s="5">
        <v>44370</v>
      </c>
      <c r="P59" s="4" t="s">
        <v>21</v>
      </c>
    </row>
    <row r="60" spans="1:16" x14ac:dyDescent="0.25">
      <c r="A60" s="4" t="s">
        <v>23</v>
      </c>
      <c r="B60" s="5">
        <v>43067</v>
      </c>
      <c r="C60" s="4" t="str">
        <f>"000050-2017"</f>
        <v>000050-2017</v>
      </c>
      <c r="D60" s="4">
        <v>88016991</v>
      </c>
      <c r="E60" s="5">
        <v>43069</v>
      </c>
      <c r="F60" s="4">
        <v>320</v>
      </c>
      <c r="G60" s="4">
        <v>299</v>
      </c>
      <c r="H60" s="4" t="s">
        <v>117</v>
      </c>
      <c r="I60" s="4">
        <v>1875510669</v>
      </c>
      <c r="J60" s="4" t="s">
        <v>118</v>
      </c>
      <c r="K60" s="4" t="s">
        <v>119</v>
      </c>
      <c r="L60" s="6">
        <v>-5610.78</v>
      </c>
      <c r="M60" s="6">
        <v>-4599</v>
      </c>
      <c r="N60" s="4"/>
      <c r="O60" s="4"/>
      <c r="P60" s="4" t="s">
        <v>21</v>
      </c>
    </row>
    <row r="61" spans="1:16" x14ac:dyDescent="0.25">
      <c r="A61" s="4" t="s">
        <v>23</v>
      </c>
      <c r="B61" s="5">
        <v>43053</v>
      </c>
      <c r="C61" s="4" t="str">
        <f>"004801603171"</f>
        <v>004801603171</v>
      </c>
      <c r="D61" s="4">
        <v>86898497</v>
      </c>
      <c r="E61" s="5">
        <v>43056</v>
      </c>
      <c r="F61" s="4">
        <v>287</v>
      </c>
      <c r="G61" s="4">
        <v>769</v>
      </c>
      <c r="H61" s="4" t="s">
        <v>73</v>
      </c>
      <c r="I61" s="4">
        <v>6655971007</v>
      </c>
      <c r="J61" s="4" t="s">
        <v>74</v>
      </c>
      <c r="K61" s="4"/>
      <c r="L61" s="4">
        <v>-13.67</v>
      </c>
      <c r="M61" s="4">
        <v>-13.67</v>
      </c>
      <c r="N61" s="4"/>
      <c r="O61" s="4"/>
      <c r="P61" s="4" t="s">
        <v>21</v>
      </c>
    </row>
    <row r="62" spans="1:16" x14ac:dyDescent="0.25">
      <c r="A62" s="4" t="s">
        <v>23</v>
      </c>
      <c r="B62" s="5">
        <v>43053</v>
      </c>
      <c r="C62" s="4" t="str">
        <f>"004801603262"</f>
        <v>004801603262</v>
      </c>
      <c r="D62" s="4">
        <v>86896701</v>
      </c>
      <c r="E62" s="5">
        <v>43056</v>
      </c>
      <c r="F62" s="4">
        <v>286</v>
      </c>
      <c r="G62" s="4">
        <v>769</v>
      </c>
      <c r="H62" s="4" t="s">
        <v>73</v>
      </c>
      <c r="I62" s="4">
        <v>6655971007</v>
      </c>
      <c r="J62" s="4" t="s">
        <v>74</v>
      </c>
      <c r="K62" s="4"/>
      <c r="L62" s="4">
        <v>-11.48</v>
      </c>
      <c r="M62" s="4">
        <v>-11.48</v>
      </c>
      <c r="N62" s="4"/>
      <c r="O62" s="4"/>
      <c r="P62" s="4" t="s">
        <v>21</v>
      </c>
    </row>
    <row r="63" spans="1:16" x14ac:dyDescent="0.25">
      <c r="A63" s="4" t="s">
        <v>17</v>
      </c>
      <c r="B63" s="5">
        <v>43018</v>
      </c>
      <c r="C63" s="4" t="str">
        <f>"01/E"</f>
        <v>01/E</v>
      </c>
      <c r="D63" s="4">
        <v>83600248</v>
      </c>
      <c r="E63" s="5">
        <v>43025</v>
      </c>
      <c r="F63" s="4">
        <v>242</v>
      </c>
      <c r="G63" s="4">
        <v>90</v>
      </c>
      <c r="H63" s="4" t="s">
        <v>120</v>
      </c>
      <c r="I63" s="4" t="s">
        <v>121</v>
      </c>
      <c r="J63" s="4" t="s">
        <v>122</v>
      </c>
      <c r="K63" s="4" t="s">
        <v>123</v>
      </c>
      <c r="L63" s="4">
        <v>390.4</v>
      </c>
      <c r="M63" s="4">
        <v>320</v>
      </c>
      <c r="N63" s="4"/>
      <c r="O63" s="4"/>
      <c r="P63" s="4" t="s">
        <v>21</v>
      </c>
    </row>
    <row r="64" spans="1:16" x14ac:dyDescent="0.25">
      <c r="A64" s="4" t="s">
        <v>17</v>
      </c>
      <c r="B64" s="5">
        <v>43005</v>
      </c>
      <c r="C64" s="4" t="str">
        <f>"000031-2017"</f>
        <v>000031-2017</v>
      </c>
      <c r="D64" s="4">
        <v>82453196</v>
      </c>
      <c r="E64" s="5">
        <v>43006</v>
      </c>
      <c r="F64" s="4">
        <v>202</v>
      </c>
      <c r="G64" s="4">
        <v>299</v>
      </c>
      <c r="H64" s="4" t="s">
        <v>117</v>
      </c>
      <c r="I64" s="4">
        <v>1875510669</v>
      </c>
      <c r="J64" s="4" t="s">
        <v>118</v>
      </c>
      <c r="K64" s="4" t="s">
        <v>124</v>
      </c>
      <c r="L64" s="6">
        <v>5610.78</v>
      </c>
      <c r="M64" s="6">
        <v>4599</v>
      </c>
      <c r="N64" s="4"/>
      <c r="O64" s="4"/>
      <c r="P64" s="4" t="s">
        <v>21</v>
      </c>
    </row>
    <row r="65" spans="1:16" x14ac:dyDescent="0.25">
      <c r="A65" s="4" t="s">
        <v>17</v>
      </c>
      <c r="B65" s="5">
        <v>43004</v>
      </c>
      <c r="C65" s="4" t="str">
        <f>"11301/8/10"</f>
        <v>11301/8/10</v>
      </c>
      <c r="D65" s="4">
        <v>83210713</v>
      </c>
      <c r="E65" s="5">
        <v>43025</v>
      </c>
      <c r="F65" s="4">
        <v>246</v>
      </c>
      <c r="G65" s="4">
        <v>286</v>
      </c>
      <c r="H65" s="4" t="s">
        <v>54</v>
      </c>
      <c r="I65" s="4"/>
      <c r="J65" s="4" t="s">
        <v>55</v>
      </c>
      <c r="K65" s="4" t="s">
        <v>125</v>
      </c>
      <c r="L65" s="4">
        <v>85.4</v>
      </c>
      <c r="M65" s="4">
        <v>70</v>
      </c>
      <c r="N65" s="5">
        <v>43039</v>
      </c>
      <c r="O65" s="5">
        <v>44287</v>
      </c>
      <c r="P65" s="4" t="s">
        <v>21</v>
      </c>
    </row>
    <row r="66" spans="1:16" x14ac:dyDescent="0.25">
      <c r="A66" s="4" t="s">
        <v>17</v>
      </c>
      <c r="B66" s="5">
        <v>42955</v>
      </c>
      <c r="C66" s="4" t="str">
        <f>"90007496"</f>
        <v>90007496</v>
      </c>
      <c r="D66" s="4">
        <v>79025190</v>
      </c>
      <c r="E66" s="5">
        <v>42982</v>
      </c>
      <c r="F66" s="4">
        <v>189</v>
      </c>
      <c r="G66" s="4">
        <v>987</v>
      </c>
      <c r="H66" s="4" t="s">
        <v>126</v>
      </c>
      <c r="I66" s="4">
        <v>7960110158</v>
      </c>
      <c r="J66" s="4" t="s">
        <v>127</v>
      </c>
      <c r="K66" s="4"/>
      <c r="L66" s="6">
        <v>6975.38</v>
      </c>
      <c r="M66" s="6">
        <v>6975.38</v>
      </c>
      <c r="N66" s="5">
        <v>42955</v>
      </c>
      <c r="O66" s="4"/>
      <c r="P66" s="4" t="s">
        <v>21</v>
      </c>
    </row>
    <row r="67" spans="1:16" x14ac:dyDescent="0.25">
      <c r="A67" s="4" t="s">
        <v>23</v>
      </c>
      <c r="B67" s="5">
        <v>42955</v>
      </c>
      <c r="C67" s="4" t="str">
        <f>"90007497"</f>
        <v>90007497</v>
      </c>
      <c r="D67" s="4">
        <v>79025120</v>
      </c>
      <c r="E67" s="5">
        <v>42982</v>
      </c>
      <c r="F67" s="4">
        <v>188</v>
      </c>
      <c r="G67" s="4">
        <v>987</v>
      </c>
      <c r="H67" s="4" t="s">
        <v>126</v>
      </c>
      <c r="I67" s="4">
        <v>7960110158</v>
      </c>
      <c r="J67" s="4" t="s">
        <v>127</v>
      </c>
      <c r="K67" s="4"/>
      <c r="L67" s="6">
        <v>-1047</v>
      </c>
      <c r="M67" s="6">
        <v>-1047</v>
      </c>
      <c r="N67" s="5">
        <v>42955</v>
      </c>
      <c r="O67" s="4"/>
      <c r="P67" s="4" t="s">
        <v>21</v>
      </c>
    </row>
    <row r="68" spans="1:16" x14ac:dyDescent="0.25">
      <c r="A68" s="4" t="s">
        <v>23</v>
      </c>
      <c r="B68" s="5">
        <v>42950</v>
      </c>
      <c r="C68" s="4" t="str">
        <f>"PA/01_2017"</f>
        <v>PA/01_2017</v>
      </c>
      <c r="D68" s="4">
        <v>78759232</v>
      </c>
      <c r="E68" s="5">
        <v>42954</v>
      </c>
      <c r="F68" s="4">
        <v>164</v>
      </c>
      <c r="G68" s="4">
        <v>1004</v>
      </c>
      <c r="H68" s="4" t="s">
        <v>24</v>
      </c>
      <c r="I68" s="4" t="s">
        <v>25</v>
      </c>
      <c r="J68" s="4" t="s">
        <v>26</v>
      </c>
      <c r="K68" s="4" t="s">
        <v>128</v>
      </c>
      <c r="L68" s="6">
        <v>-4489.6000000000004</v>
      </c>
      <c r="M68" s="6">
        <v>-4489.6000000000004</v>
      </c>
      <c r="N68" s="4"/>
      <c r="O68" s="4"/>
      <c r="P68" s="4" t="s">
        <v>21</v>
      </c>
    </row>
    <row r="69" spans="1:16" x14ac:dyDescent="0.25">
      <c r="A69" s="4" t="s">
        <v>17</v>
      </c>
      <c r="B69" s="5">
        <v>42941</v>
      </c>
      <c r="C69" s="4" t="str">
        <f>"E176025169"</f>
        <v>E176025169</v>
      </c>
      <c r="D69" s="4">
        <v>84758346</v>
      </c>
      <c r="E69" s="5">
        <v>43039</v>
      </c>
      <c r="F69" s="4">
        <v>263</v>
      </c>
      <c r="G69" s="4">
        <v>1074</v>
      </c>
      <c r="H69" s="4" t="s">
        <v>129</v>
      </c>
      <c r="I69" s="4">
        <v>12300020158</v>
      </c>
      <c r="J69" s="4" t="s">
        <v>130</v>
      </c>
      <c r="K69" s="4"/>
      <c r="L69" s="6">
        <v>6027.93</v>
      </c>
      <c r="M69" s="6">
        <v>5302.98</v>
      </c>
      <c r="N69" s="5">
        <v>42968</v>
      </c>
      <c r="O69" s="4"/>
      <c r="P69" s="4" t="s">
        <v>21</v>
      </c>
    </row>
    <row r="70" spans="1:16" x14ac:dyDescent="0.25">
      <c r="A70" s="4" t="s">
        <v>17</v>
      </c>
      <c r="B70" s="5">
        <v>42919</v>
      </c>
      <c r="C70" s="4" t="str">
        <f>"PA/08_2017"</f>
        <v>PA/08_2017</v>
      </c>
      <c r="D70" s="4">
        <v>75835995</v>
      </c>
      <c r="E70" s="5">
        <v>42735</v>
      </c>
      <c r="F70" s="4">
        <v>413</v>
      </c>
      <c r="G70" s="4">
        <v>1004</v>
      </c>
      <c r="H70" s="4" t="s">
        <v>24</v>
      </c>
      <c r="I70" s="4" t="s">
        <v>25</v>
      </c>
      <c r="J70" s="4" t="s">
        <v>26</v>
      </c>
      <c r="K70" s="4" t="s">
        <v>51</v>
      </c>
      <c r="L70" s="6">
        <v>4489.6000000000004</v>
      </c>
      <c r="M70" s="6">
        <v>4489.6000000000004</v>
      </c>
      <c r="N70" s="4"/>
      <c r="O70" s="4"/>
      <c r="P70" s="4" t="s">
        <v>21</v>
      </c>
    </row>
    <row r="71" spans="1:16" x14ac:dyDescent="0.25">
      <c r="A71" s="4" t="s">
        <v>17</v>
      </c>
      <c r="B71" s="5">
        <v>42805</v>
      </c>
      <c r="C71" s="4" t="str">
        <f>"004800352069"</f>
        <v>004800352069</v>
      </c>
      <c r="D71" s="4">
        <v>65464907</v>
      </c>
      <c r="E71" s="5">
        <v>42824</v>
      </c>
      <c r="F71" s="4">
        <v>24</v>
      </c>
      <c r="G71" s="4">
        <v>769</v>
      </c>
      <c r="H71" s="4" t="s">
        <v>73</v>
      </c>
      <c r="I71" s="4">
        <v>6655971007</v>
      </c>
      <c r="J71" s="4" t="s">
        <v>74</v>
      </c>
      <c r="K71" s="4"/>
      <c r="L71" s="6">
        <v>3912.67</v>
      </c>
      <c r="M71" s="6">
        <v>3207.11</v>
      </c>
      <c r="N71" s="4"/>
      <c r="O71" s="4"/>
      <c r="P71" s="4" t="s">
        <v>21</v>
      </c>
    </row>
    <row r="72" spans="1:16" x14ac:dyDescent="0.25">
      <c r="A72" s="4" t="s">
        <v>17</v>
      </c>
      <c r="B72" s="5">
        <v>42804</v>
      </c>
      <c r="C72" s="4" t="str">
        <f>"E176008462"</f>
        <v>E176008462</v>
      </c>
      <c r="D72" s="4">
        <v>65636213</v>
      </c>
      <c r="E72" s="5">
        <v>42916</v>
      </c>
      <c r="F72" s="4">
        <v>129</v>
      </c>
      <c r="G72" s="4">
        <v>884</v>
      </c>
      <c r="H72" s="4" t="s">
        <v>131</v>
      </c>
      <c r="I72" s="4">
        <v>484960588</v>
      </c>
      <c r="J72" s="4" t="s">
        <v>132</v>
      </c>
      <c r="K72" s="4"/>
      <c r="L72" s="4">
        <v>353.62</v>
      </c>
      <c r="M72" s="4">
        <v>321.47000000000003</v>
      </c>
      <c r="N72" s="5">
        <v>42825</v>
      </c>
      <c r="O72" s="4"/>
      <c r="P72" s="4" t="s">
        <v>21</v>
      </c>
    </row>
    <row r="73" spans="1:16" x14ac:dyDescent="0.25">
      <c r="A73" s="4" t="s">
        <v>17</v>
      </c>
      <c r="B73" s="5">
        <v>42783</v>
      </c>
      <c r="C73" s="4" t="str">
        <f>"E176005479"</f>
        <v>E176005479</v>
      </c>
      <c r="D73" s="4">
        <v>63579468</v>
      </c>
      <c r="E73" s="5">
        <v>42916</v>
      </c>
      <c r="F73" s="4">
        <v>128</v>
      </c>
      <c r="G73" s="4">
        <v>884</v>
      </c>
      <c r="H73" s="4" t="s">
        <v>131</v>
      </c>
      <c r="I73" s="4">
        <v>484960588</v>
      </c>
      <c r="J73" s="4" t="s">
        <v>132</v>
      </c>
      <c r="K73" s="4"/>
      <c r="L73" s="4">
        <v>391.04</v>
      </c>
      <c r="M73" s="4">
        <v>355.49</v>
      </c>
      <c r="N73" s="5">
        <v>42804</v>
      </c>
      <c r="O73" s="4"/>
      <c r="P73" s="4" t="s">
        <v>21</v>
      </c>
    </row>
    <row r="74" spans="1:16" x14ac:dyDescent="0.25">
      <c r="A74" s="4" t="s">
        <v>23</v>
      </c>
      <c r="B74" s="5">
        <v>42777</v>
      </c>
      <c r="C74" s="4" t="str">
        <f>"FATTPA 2_17"</f>
        <v>FATTPA 2_17</v>
      </c>
      <c r="D74" s="4">
        <v>64179124</v>
      </c>
      <c r="E74" s="5">
        <v>42866</v>
      </c>
      <c r="F74" s="4">
        <v>77</v>
      </c>
      <c r="G74" s="4">
        <v>762</v>
      </c>
      <c r="H74" s="4" t="s">
        <v>133</v>
      </c>
      <c r="I74" s="4" t="s">
        <v>134</v>
      </c>
      <c r="J74" s="4" t="s">
        <v>135</v>
      </c>
      <c r="K74" s="4" t="s">
        <v>136</v>
      </c>
      <c r="L74" s="6">
        <v>-15860</v>
      </c>
      <c r="M74" s="6">
        <v>-15860</v>
      </c>
      <c r="N74" s="4"/>
      <c r="O74" s="4"/>
      <c r="P74" s="4" t="s">
        <v>21</v>
      </c>
    </row>
    <row r="75" spans="1:16" x14ac:dyDescent="0.25">
      <c r="A75" s="4" t="s">
        <v>17</v>
      </c>
      <c r="B75" s="5">
        <v>42773</v>
      </c>
      <c r="C75" s="4" t="str">
        <f>"2"</f>
        <v>2</v>
      </c>
      <c r="D75" s="4">
        <v>62300981</v>
      </c>
      <c r="E75" s="5">
        <v>42735</v>
      </c>
      <c r="F75" s="4">
        <v>388</v>
      </c>
      <c r="G75" s="4">
        <v>241</v>
      </c>
      <c r="H75" s="4" t="s">
        <v>137</v>
      </c>
      <c r="I75" s="4"/>
      <c r="J75" s="4" t="s">
        <v>138</v>
      </c>
      <c r="K75" s="4" t="s">
        <v>139</v>
      </c>
      <c r="L75" s="6">
        <v>2400</v>
      </c>
      <c r="M75" s="4">
        <v>2.69</v>
      </c>
      <c r="N75" s="4"/>
      <c r="O75" s="4"/>
      <c r="P75" s="4" t="s">
        <v>21</v>
      </c>
    </row>
    <row r="76" spans="1:16" x14ac:dyDescent="0.25">
      <c r="A76" s="4" t="s">
        <v>17</v>
      </c>
      <c r="B76" s="5">
        <v>42755</v>
      </c>
      <c r="C76" s="4" t="str">
        <f>"E176000440"</f>
        <v>E176000440</v>
      </c>
      <c r="D76" s="4">
        <v>61326049</v>
      </c>
      <c r="E76" s="5">
        <v>42916</v>
      </c>
      <c r="F76" s="4">
        <v>127</v>
      </c>
      <c r="G76" s="4">
        <v>884</v>
      </c>
      <c r="H76" s="4" t="s">
        <v>131</v>
      </c>
      <c r="I76" s="4">
        <v>484960588</v>
      </c>
      <c r="J76" s="4" t="s">
        <v>132</v>
      </c>
      <c r="K76" s="4"/>
      <c r="L76" s="4">
        <v>57.14</v>
      </c>
      <c r="M76" s="4">
        <v>52.66</v>
      </c>
      <c r="N76" s="5">
        <v>42776</v>
      </c>
      <c r="O76" s="4"/>
      <c r="P76" s="4" t="s">
        <v>21</v>
      </c>
    </row>
    <row r="77" spans="1:16" x14ac:dyDescent="0.25">
      <c r="A77" s="4" t="s">
        <v>23</v>
      </c>
      <c r="B77" s="5">
        <v>42755</v>
      </c>
      <c r="C77" s="4" t="str">
        <f>"FATTPA 2_17"</f>
        <v>FATTPA 2_17</v>
      </c>
      <c r="D77" s="4">
        <v>60635069</v>
      </c>
      <c r="E77" s="5">
        <v>42758</v>
      </c>
      <c r="F77" s="4">
        <v>2</v>
      </c>
      <c r="G77" s="4">
        <v>1027</v>
      </c>
      <c r="H77" s="4" t="s">
        <v>140</v>
      </c>
      <c r="I77" s="4">
        <v>1671590667</v>
      </c>
      <c r="J77" s="4" t="s">
        <v>141</v>
      </c>
      <c r="K77" s="4"/>
      <c r="L77" s="4">
        <v>-300</v>
      </c>
      <c r="M77" s="4">
        <v>-245.9</v>
      </c>
      <c r="N77" s="4"/>
      <c r="O77" s="4"/>
      <c r="P77" s="4" t="s">
        <v>21</v>
      </c>
    </row>
    <row r="78" spans="1:16" x14ac:dyDescent="0.25">
      <c r="A78" s="4" t="s">
        <v>17</v>
      </c>
      <c r="B78" s="5">
        <v>42752</v>
      </c>
      <c r="C78" s="4" t="str">
        <f>"8717003833"</f>
        <v>8717003833</v>
      </c>
      <c r="D78" s="4">
        <v>60299450</v>
      </c>
      <c r="E78" s="5">
        <v>42735</v>
      </c>
      <c r="F78" s="4">
        <v>380</v>
      </c>
      <c r="G78" s="4">
        <v>695</v>
      </c>
      <c r="H78" s="4" t="s">
        <v>80</v>
      </c>
      <c r="I78" s="4">
        <v>97103880585</v>
      </c>
      <c r="J78" s="4" t="s">
        <v>81</v>
      </c>
      <c r="K78" s="4" t="s">
        <v>142</v>
      </c>
      <c r="L78" s="4">
        <v>411.12</v>
      </c>
      <c r="M78" s="4">
        <v>67.7</v>
      </c>
      <c r="N78" s="5">
        <v>42794</v>
      </c>
      <c r="O78" s="4"/>
      <c r="P78" s="4" t="s">
        <v>21</v>
      </c>
    </row>
    <row r="79" spans="1:16" x14ac:dyDescent="0.25">
      <c r="A79" s="4" t="s">
        <v>17</v>
      </c>
      <c r="B79" s="5">
        <v>42744</v>
      </c>
      <c r="C79" s="4" t="str">
        <f>"FATTPA 1_17"</f>
        <v>FATTPA 1_17</v>
      </c>
      <c r="D79" s="4">
        <v>59818332</v>
      </c>
      <c r="E79" s="5">
        <v>42735</v>
      </c>
      <c r="F79" s="4">
        <v>371</v>
      </c>
      <c r="G79" s="4">
        <v>1027</v>
      </c>
      <c r="H79" s="4" t="s">
        <v>140</v>
      </c>
      <c r="I79" s="4">
        <v>1671590667</v>
      </c>
      <c r="J79" s="4" t="s">
        <v>141</v>
      </c>
      <c r="K79" s="4"/>
      <c r="L79" s="4">
        <v>300</v>
      </c>
      <c r="M79" s="4">
        <v>245.9</v>
      </c>
      <c r="N79" s="5">
        <v>42751</v>
      </c>
      <c r="O79" s="4"/>
      <c r="P79" s="4" t="s">
        <v>21</v>
      </c>
    </row>
    <row r="80" spans="1:16" x14ac:dyDescent="0.25">
      <c r="A80" s="4" t="s">
        <v>23</v>
      </c>
      <c r="B80" s="5">
        <v>42735</v>
      </c>
      <c r="C80" s="4" t="str">
        <f>"01/01"</f>
        <v>01/01</v>
      </c>
      <c r="D80" s="4">
        <v>61614143</v>
      </c>
      <c r="E80" s="5">
        <v>42776</v>
      </c>
      <c r="F80" s="4">
        <v>7</v>
      </c>
      <c r="G80" s="4">
        <v>1014</v>
      </c>
      <c r="H80" s="4" t="s">
        <v>143</v>
      </c>
      <c r="I80" s="4"/>
      <c r="J80" s="4" t="s">
        <v>144</v>
      </c>
      <c r="K80" s="4"/>
      <c r="L80" s="6">
        <v>-2074</v>
      </c>
      <c r="M80" s="6">
        <v>-1700</v>
      </c>
      <c r="N80" s="4"/>
      <c r="O80" s="4"/>
      <c r="P80" s="4" t="s">
        <v>21</v>
      </c>
    </row>
    <row r="81" spans="1:16" x14ac:dyDescent="0.25">
      <c r="A81" s="4" t="s">
        <v>17</v>
      </c>
      <c r="B81" s="5">
        <v>42735</v>
      </c>
      <c r="C81" s="4" t="str">
        <f>"05/01"</f>
        <v>05/01</v>
      </c>
      <c r="D81" s="4">
        <v>59778861</v>
      </c>
      <c r="E81" s="5">
        <v>42735</v>
      </c>
      <c r="F81" s="4">
        <v>369</v>
      </c>
      <c r="G81" s="4">
        <v>1014</v>
      </c>
      <c r="H81" s="4" t="s">
        <v>143</v>
      </c>
      <c r="I81" s="4"/>
      <c r="J81" s="4" t="s">
        <v>144</v>
      </c>
      <c r="K81" s="4"/>
      <c r="L81" s="6">
        <v>2074</v>
      </c>
      <c r="M81" s="6">
        <v>1700</v>
      </c>
      <c r="N81" s="4"/>
      <c r="O81" s="4"/>
      <c r="P81" s="4" t="s">
        <v>21</v>
      </c>
    </row>
    <row r="82" spans="1:16" x14ac:dyDescent="0.25">
      <c r="A82" s="4" t="s">
        <v>17</v>
      </c>
      <c r="B82" s="5">
        <v>42727</v>
      </c>
      <c r="C82" s="4" t="str">
        <f>"E166045066"</f>
        <v>E166045066</v>
      </c>
      <c r="D82" s="4">
        <v>59234107</v>
      </c>
      <c r="E82" s="5">
        <v>42735</v>
      </c>
      <c r="F82" s="4">
        <v>362</v>
      </c>
      <c r="G82" s="4">
        <v>884</v>
      </c>
      <c r="H82" s="4" t="s">
        <v>131</v>
      </c>
      <c r="I82" s="4">
        <v>484960588</v>
      </c>
      <c r="J82" s="4" t="s">
        <v>132</v>
      </c>
      <c r="K82" s="4"/>
      <c r="L82" s="4">
        <v>695.84</v>
      </c>
      <c r="M82" s="4">
        <v>633.38</v>
      </c>
      <c r="N82" s="5">
        <v>42759</v>
      </c>
      <c r="O82" s="4"/>
      <c r="P82" s="4" t="s">
        <v>21</v>
      </c>
    </row>
    <row r="83" spans="1:16" x14ac:dyDescent="0.25">
      <c r="A83" s="4" t="s">
        <v>17</v>
      </c>
      <c r="B83" s="5">
        <v>42727</v>
      </c>
      <c r="C83" s="4" t="str">
        <f>"E166045328"</f>
        <v>E166045328</v>
      </c>
      <c r="D83" s="4">
        <v>59234081</v>
      </c>
      <c r="E83" s="5">
        <v>42735</v>
      </c>
      <c r="F83" s="4">
        <v>361</v>
      </c>
      <c r="G83" s="4">
        <v>884</v>
      </c>
      <c r="H83" s="4" t="s">
        <v>131</v>
      </c>
      <c r="I83" s="4">
        <v>484960588</v>
      </c>
      <c r="J83" s="4" t="s">
        <v>132</v>
      </c>
      <c r="K83" s="4"/>
      <c r="L83" s="4">
        <v>-15.53</v>
      </c>
      <c r="M83" s="4">
        <v>0</v>
      </c>
      <c r="N83" s="5">
        <v>42759</v>
      </c>
      <c r="O83" s="4"/>
      <c r="P83" s="4" t="s">
        <v>21</v>
      </c>
    </row>
    <row r="84" spans="1:16" x14ac:dyDescent="0.25">
      <c r="A84" s="4" t="s">
        <v>17</v>
      </c>
      <c r="B84" s="5">
        <v>42720</v>
      </c>
      <c r="C84" s="4" t="str">
        <f>"BT2016117877"</f>
        <v>BT2016117877</v>
      </c>
      <c r="D84" s="4">
        <v>58111737</v>
      </c>
      <c r="E84" s="5">
        <v>42726</v>
      </c>
      <c r="F84" s="4">
        <v>351</v>
      </c>
      <c r="G84" s="4">
        <v>44</v>
      </c>
      <c r="H84" s="4" t="s">
        <v>18</v>
      </c>
      <c r="I84" s="4">
        <v>1636590661</v>
      </c>
      <c r="J84" s="4" t="s">
        <v>19</v>
      </c>
      <c r="K84" s="4" t="s">
        <v>145</v>
      </c>
      <c r="L84" s="4">
        <v>-7.59</v>
      </c>
      <c r="M84" s="4">
        <v>-6.22</v>
      </c>
      <c r="N84" s="5">
        <v>42755</v>
      </c>
      <c r="O84" s="4"/>
      <c r="P84" s="4" t="s">
        <v>21</v>
      </c>
    </row>
    <row r="85" spans="1:16" x14ac:dyDescent="0.25">
      <c r="A85" s="4" t="s">
        <v>17</v>
      </c>
      <c r="B85" s="5">
        <v>42696</v>
      </c>
      <c r="C85" s="4" t="str">
        <f>"02/E"</f>
        <v>02/E</v>
      </c>
      <c r="D85" s="4">
        <v>55468458</v>
      </c>
      <c r="E85" s="5">
        <v>42706</v>
      </c>
      <c r="F85" s="4">
        <v>324</v>
      </c>
      <c r="G85" s="4">
        <v>477</v>
      </c>
      <c r="H85" s="4" t="s">
        <v>146</v>
      </c>
      <c r="I85" s="4" t="s">
        <v>147</v>
      </c>
      <c r="J85" s="4" t="s">
        <v>148</v>
      </c>
      <c r="K85" s="4" t="s">
        <v>149</v>
      </c>
      <c r="L85" s="4">
        <v>389.42</v>
      </c>
      <c r="M85" s="4">
        <v>319.2</v>
      </c>
      <c r="N85" s="4"/>
      <c r="O85" s="4"/>
      <c r="P85" s="4" t="s">
        <v>21</v>
      </c>
    </row>
    <row r="86" spans="1:16" x14ac:dyDescent="0.25">
      <c r="A86" s="4" t="s">
        <v>17</v>
      </c>
      <c r="B86" s="5">
        <v>42683</v>
      </c>
      <c r="C86" s="4" t="str">
        <f>"8P00286681"</f>
        <v>8P00286681</v>
      </c>
      <c r="D86" s="4">
        <v>55311567</v>
      </c>
      <c r="E86" s="5">
        <v>42696</v>
      </c>
      <c r="F86" s="4">
        <v>315</v>
      </c>
      <c r="G86" s="4">
        <v>453</v>
      </c>
      <c r="H86" s="4" t="s">
        <v>150</v>
      </c>
      <c r="I86" s="4"/>
      <c r="J86" s="4" t="s">
        <v>151</v>
      </c>
      <c r="K86" s="4" t="s">
        <v>152</v>
      </c>
      <c r="L86" s="4">
        <v>235.34</v>
      </c>
      <c r="M86" s="4">
        <v>195.91</v>
      </c>
      <c r="N86" s="5">
        <v>42719</v>
      </c>
      <c r="O86" s="4"/>
      <c r="P86" s="4" t="s">
        <v>21</v>
      </c>
    </row>
    <row r="87" spans="1:16" x14ac:dyDescent="0.25">
      <c r="A87" s="4" t="s">
        <v>17</v>
      </c>
      <c r="B87" s="5">
        <v>42678</v>
      </c>
      <c r="C87" s="4" t="str">
        <f>"E166038047"</f>
        <v>E166038047</v>
      </c>
      <c r="D87" s="4">
        <v>54291610</v>
      </c>
      <c r="E87" s="5">
        <v>42684</v>
      </c>
      <c r="F87" s="4">
        <v>294</v>
      </c>
      <c r="G87" s="4">
        <v>884</v>
      </c>
      <c r="H87" s="4" t="s">
        <v>131</v>
      </c>
      <c r="I87" s="4">
        <v>484960588</v>
      </c>
      <c r="J87" s="4" t="s">
        <v>132</v>
      </c>
      <c r="K87" s="4"/>
      <c r="L87" s="4">
        <v>472.98</v>
      </c>
      <c r="M87" s="4">
        <v>438.5</v>
      </c>
      <c r="N87" s="5">
        <v>42700</v>
      </c>
      <c r="O87" s="4"/>
      <c r="P87" s="4" t="s">
        <v>21</v>
      </c>
    </row>
    <row r="88" spans="1:16" x14ac:dyDescent="0.25">
      <c r="A88" s="4" t="s">
        <v>17</v>
      </c>
      <c r="B88" s="5">
        <v>42678</v>
      </c>
      <c r="C88" s="4" t="str">
        <f>"E166039214"</f>
        <v>E166039214</v>
      </c>
      <c r="D88" s="4">
        <v>54208126</v>
      </c>
      <c r="E88" s="5">
        <v>42684</v>
      </c>
      <c r="F88" s="4">
        <v>299</v>
      </c>
      <c r="G88" s="4">
        <v>884</v>
      </c>
      <c r="H88" s="4" t="s">
        <v>131</v>
      </c>
      <c r="I88" s="4">
        <v>484960588</v>
      </c>
      <c r="J88" s="4" t="s">
        <v>132</v>
      </c>
      <c r="K88" s="4"/>
      <c r="L88" s="4">
        <v>411.98</v>
      </c>
      <c r="M88" s="4">
        <v>10.33</v>
      </c>
      <c r="N88" s="5">
        <v>42700</v>
      </c>
      <c r="O88" s="4"/>
      <c r="P88" s="4" t="s">
        <v>21</v>
      </c>
    </row>
    <row r="89" spans="1:16" x14ac:dyDescent="0.25">
      <c r="A89" s="4" t="s">
        <v>17</v>
      </c>
      <c r="B89" s="5">
        <v>42622</v>
      </c>
      <c r="C89" s="4" t="str">
        <f>"E166031845"</f>
        <v>E166031845</v>
      </c>
      <c r="D89" s="4">
        <v>49464149</v>
      </c>
      <c r="E89" s="5">
        <v>42643</v>
      </c>
      <c r="F89" s="4">
        <v>212</v>
      </c>
      <c r="G89" s="4">
        <v>884</v>
      </c>
      <c r="H89" s="4" t="s">
        <v>131</v>
      </c>
      <c r="I89" s="4">
        <v>484960588</v>
      </c>
      <c r="J89" s="4" t="s">
        <v>132</v>
      </c>
      <c r="K89" s="4"/>
      <c r="L89" s="4">
        <v>44.37</v>
      </c>
      <c r="M89" s="4">
        <v>25.55</v>
      </c>
      <c r="N89" s="5">
        <v>42644</v>
      </c>
      <c r="O89" s="4"/>
      <c r="P89" s="4" t="s">
        <v>21</v>
      </c>
    </row>
    <row r="90" spans="1:16" x14ac:dyDescent="0.25">
      <c r="A90" s="4" t="s">
        <v>17</v>
      </c>
      <c r="B90" s="5">
        <v>42587</v>
      </c>
      <c r="C90" s="4" t="str">
        <f>"E166028281"</f>
        <v>E166028281</v>
      </c>
      <c r="D90" s="4">
        <v>47263024</v>
      </c>
      <c r="E90" s="5">
        <v>42643</v>
      </c>
      <c r="F90" s="4">
        <v>198</v>
      </c>
      <c r="G90" s="4">
        <v>884</v>
      </c>
      <c r="H90" s="4" t="s">
        <v>131</v>
      </c>
      <c r="I90" s="4">
        <v>484960588</v>
      </c>
      <c r="J90" s="4" t="s">
        <v>132</v>
      </c>
      <c r="K90" s="4"/>
      <c r="L90" s="4">
        <v>399.21</v>
      </c>
      <c r="M90" s="4">
        <v>327.22000000000003</v>
      </c>
      <c r="N90" s="5">
        <v>42618</v>
      </c>
      <c r="O90" s="4"/>
      <c r="P90" s="4" t="s">
        <v>21</v>
      </c>
    </row>
    <row r="91" spans="1:16" x14ac:dyDescent="0.25">
      <c r="A91" s="4" t="s">
        <v>23</v>
      </c>
      <c r="B91" s="5">
        <v>42570</v>
      </c>
      <c r="C91" s="4" t="str">
        <f>"E166025330"</f>
        <v>E166025330</v>
      </c>
      <c r="D91" s="4">
        <v>46213746</v>
      </c>
      <c r="E91" s="5">
        <v>42643</v>
      </c>
      <c r="F91" s="4">
        <v>191</v>
      </c>
      <c r="G91" s="4">
        <v>884</v>
      </c>
      <c r="H91" s="4" t="s">
        <v>131</v>
      </c>
      <c r="I91" s="4">
        <v>484960588</v>
      </c>
      <c r="J91" s="4" t="s">
        <v>132</v>
      </c>
      <c r="K91" s="4"/>
      <c r="L91" s="6">
        <v>-95461.49</v>
      </c>
      <c r="M91" s="6">
        <v>-80552.600000000006</v>
      </c>
      <c r="N91" s="5">
        <v>42570</v>
      </c>
      <c r="O91" s="4"/>
      <c r="P91" s="4" t="s">
        <v>21</v>
      </c>
    </row>
    <row r="92" spans="1:16" x14ac:dyDescent="0.25">
      <c r="A92" s="4" t="s">
        <v>17</v>
      </c>
      <c r="B92" s="5">
        <v>42566</v>
      </c>
      <c r="C92" s="4" t="str">
        <f>"E166024384"</f>
        <v>E166024384</v>
      </c>
      <c r="D92" s="4">
        <v>45949570</v>
      </c>
      <c r="E92" s="5">
        <v>42584</v>
      </c>
      <c r="F92" s="4">
        <v>115</v>
      </c>
      <c r="G92" s="4">
        <v>884</v>
      </c>
      <c r="H92" s="4" t="s">
        <v>131</v>
      </c>
      <c r="I92" s="4">
        <v>484960588</v>
      </c>
      <c r="J92" s="4" t="s">
        <v>132</v>
      </c>
      <c r="K92" s="4"/>
      <c r="L92" s="4">
        <v>104.37</v>
      </c>
      <c r="M92" s="4">
        <v>85.55</v>
      </c>
      <c r="N92" s="5">
        <v>42588</v>
      </c>
      <c r="O92" s="4"/>
      <c r="P92" s="4" t="s">
        <v>21</v>
      </c>
    </row>
    <row r="93" spans="1:16" x14ac:dyDescent="0.25">
      <c r="A93" s="4" t="s">
        <v>17</v>
      </c>
      <c r="B93" s="5">
        <v>42443</v>
      </c>
      <c r="C93" s="4" t="str">
        <f>"004700327193"</f>
        <v>004700327193</v>
      </c>
      <c r="D93" s="4">
        <v>0</v>
      </c>
      <c r="E93" s="5">
        <v>42562</v>
      </c>
      <c r="F93" s="4">
        <v>39</v>
      </c>
      <c r="G93" s="4">
        <v>769</v>
      </c>
      <c r="H93" s="4" t="s">
        <v>73</v>
      </c>
      <c r="I93" s="4">
        <v>6655971007</v>
      </c>
      <c r="J93" s="4" t="s">
        <v>74</v>
      </c>
      <c r="K93" s="4"/>
      <c r="L93" s="4">
        <v>81.069999999999993</v>
      </c>
      <c r="M93" s="4">
        <v>66.45</v>
      </c>
      <c r="N93" s="4"/>
      <c r="O93" s="4"/>
      <c r="P93" s="4" t="s">
        <v>21</v>
      </c>
    </row>
    <row r="94" spans="1:16" x14ac:dyDescent="0.25">
      <c r="A94" s="4" t="s">
        <v>17</v>
      </c>
      <c r="B94" s="5">
        <v>42442</v>
      </c>
      <c r="C94" s="4" t="str">
        <f>"004700310498"</f>
        <v>004700310498</v>
      </c>
      <c r="D94" s="4">
        <v>0</v>
      </c>
      <c r="E94" s="5">
        <v>42562</v>
      </c>
      <c r="F94" s="4">
        <v>41</v>
      </c>
      <c r="G94" s="4">
        <v>769</v>
      </c>
      <c r="H94" s="4" t="s">
        <v>73</v>
      </c>
      <c r="I94" s="4">
        <v>6655971007</v>
      </c>
      <c r="J94" s="4" t="s">
        <v>74</v>
      </c>
      <c r="K94" s="4"/>
      <c r="L94" s="6">
        <v>2934.58</v>
      </c>
      <c r="M94" s="6">
        <v>2405.39</v>
      </c>
      <c r="N94" s="5">
        <v>42475</v>
      </c>
      <c r="O94" s="4"/>
      <c r="P94" s="4" t="s">
        <v>21</v>
      </c>
    </row>
    <row r="95" spans="1:16" x14ac:dyDescent="0.25">
      <c r="A95" s="4" t="s">
        <v>17</v>
      </c>
      <c r="B95" s="5">
        <v>42429</v>
      </c>
      <c r="C95" s="4" t="str">
        <f>"8716048851"</f>
        <v>8716048851</v>
      </c>
      <c r="D95" s="4">
        <v>0</v>
      </c>
      <c r="E95" s="5">
        <v>42562</v>
      </c>
      <c r="F95" s="4">
        <v>29</v>
      </c>
      <c r="G95" s="4">
        <v>695</v>
      </c>
      <c r="H95" s="4" t="s">
        <v>80</v>
      </c>
      <c r="I95" s="4">
        <v>97103880585</v>
      </c>
      <c r="J95" s="4" t="s">
        <v>81</v>
      </c>
      <c r="K95" s="4" t="s">
        <v>153</v>
      </c>
      <c r="L95" s="4">
        <v>173.76</v>
      </c>
      <c r="M95" s="4">
        <v>173.76</v>
      </c>
      <c r="N95" s="5">
        <v>42459</v>
      </c>
      <c r="O95" s="4"/>
      <c r="P95" s="4" t="s">
        <v>21</v>
      </c>
    </row>
    <row r="96" spans="1:16" x14ac:dyDescent="0.25">
      <c r="A96" s="4" t="s">
        <v>17</v>
      </c>
      <c r="B96" s="5">
        <v>42426</v>
      </c>
      <c r="C96" s="4" t="str">
        <f>"461-PA"</f>
        <v>461-PA</v>
      </c>
      <c r="D96" s="4">
        <v>0</v>
      </c>
      <c r="E96" s="5">
        <v>42562</v>
      </c>
      <c r="F96" s="4">
        <v>27</v>
      </c>
      <c r="G96" s="4">
        <v>392</v>
      </c>
      <c r="H96" s="4" t="s">
        <v>58</v>
      </c>
      <c r="I96" s="4">
        <v>7947601006</v>
      </c>
      <c r="J96" s="4" t="s">
        <v>59</v>
      </c>
      <c r="K96" s="4" t="s">
        <v>154</v>
      </c>
      <c r="L96" s="4">
        <v>140</v>
      </c>
      <c r="M96" s="4">
        <v>140</v>
      </c>
      <c r="N96" s="5">
        <v>42458</v>
      </c>
      <c r="O96" s="4"/>
      <c r="P96" s="4" t="s">
        <v>21</v>
      </c>
    </row>
    <row r="97" spans="1:16" x14ac:dyDescent="0.25">
      <c r="A97" s="4" t="s">
        <v>23</v>
      </c>
      <c r="B97" s="5">
        <v>42426</v>
      </c>
      <c r="C97" s="4" t="str">
        <f>"498-PA"</f>
        <v>498-PA</v>
      </c>
      <c r="D97" s="4">
        <v>0</v>
      </c>
      <c r="E97" s="5">
        <v>42562</v>
      </c>
      <c r="F97" s="4">
        <v>25</v>
      </c>
      <c r="G97" s="4">
        <v>392</v>
      </c>
      <c r="H97" s="4" t="s">
        <v>58</v>
      </c>
      <c r="I97" s="4">
        <v>7947601006</v>
      </c>
      <c r="J97" s="4" t="s">
        <v>59</v>
      </c>
      <c r="K97" s="4" t="s">
        <v>155</v>
      </c>
      <c r="L97" s="4">
        <v>-140</v>
      </c>
      <c r="M97" s="4">
        <v>-140</v>
      </c>
      <c r="N97" s="5">
        <v>42426</v>
      </c>
      <c r="O97" s="4"/>
      <c r="P97" s="4" t="s">
        <v>21</v>
      </c>
    </row>
    <row r="98" spans="1:16" x14ac:dyDescent="0.25">
      <c r="A98" s="4" t="s">
        <v>17</v>
      </c>
      <c r="B98" s="5">
        <v>42416</v>
      </c>
      <c r="C98" s="4" t="str">
        <f>"004700221303"</f>
        <v>004700221303</v>
      </c>
      <c r="D98" s="4">
        <v>0</v>
      </c>
      <c r="E98" s="5">
        <v>42562</v>
      </c>
      <c r="F98" s="4">
        <v>38</v>
      </c>
      <c r="G98" s="4">
        <v>769</v>
      </c>
      <c r="H98" s="4" t="s">
        <v>73</v>
      </c>
      <c r="I98" s="4">
        <v>6655971007</v>
      </c>
      <c r="J98" s="4" t="s">
        <v>74</v>
      </c>
      <c r="K98" s="4"/>
      <c r="L98" s="4">
        <v>139.51</v>
      </c>
      <c r="M98" s="4">
        <v>114.35</v>
      </c>
      <c r="N98" s="4"/>
      <c r="O98" s="4"/>
      <c r="P98" s="4" t="s">
        <v>21</v>
      </c>
    </row>
    <row r="99" spans="1:16" x14ac:dyDescent="0.25">
      <c r="A99" s="4" t="s">
        <v>17</v>
      </c>
      <c r="B99" s="5">
        <v>42412</v>
      </c>
      <c r="C99" s="4" t="str">
        <f>"004700162716"</f>
        <v>004700162716</v>
      </c>
      <c r="D99" s="4">
        <v>0</v>
      </c>
      <c r="E99" s="5">
        <v>42562</v>
      </c>
      <c r="F99" s="4">
        <v>37</v>
      </c>
      <c r="G99" s="4">
        <v>769</v>
      </c>
      <c r="H99" s="4" t="s">
        <v>73</v>
      </c>
      <c r="I99" s="4">
        <v>6655971007</v>
      </c>
      <c r="J99" s="4" t="s">
        <v>74</v>
      </c>
      <c r="K99" s="4"/>
      <c r="L99" s="6">
        <v>3911.06</v>
      </c>
      <c r="M99" s="6">
        <v>3205.79</v>
      </c>
      <c r="N99" s="4"/>
      <c r="O99" s="4"/>
      <c r="P99" s="4" t="s">
        <v>21</v>
      </c>
    </row>
    <row r="100" spans="1:16" x14ac:dyDescent="0.25">
      <c r="A100" s="4" t="s">
        <v>23</v>
      </c>
      <c r="B100" s="5">
        <v>42409</v>
      </c>
      <c r="C100" s="4" t="str">
        <f>"E166003608"</f>
        <v>E166003608</v>
      </c>
      <c r="D100" s="4">
        <v>52768645</v>
      </c>
      <c r="E100" s="5">
        <v>42671</v>
      </c>
      <c r="F100" s="4">
        <v>275</v>
      </c>
      <c r="G100" s="4">
        <v>884</v>
      </c>
      <c r="H100" s="4" t="s">
        <v>131</v>
      </c>
      <c r="I100" s="4">
        <v>484960588</v>
      </c>
      <c r="J100" s="4" t="s">
        <v>132</v>
      </c>
      <c r="K100" s="4"/>
      <c r="L100" s="6">
        <v>-5794.89</v>
      </c>
      <c r="M100" s="6">
        <v>-4889.17</v>
      </c>
      <c r="N100" s="5">
        <v>42409</v>
      </c>
      <c r="O100" s="4"/>
      <c r="P100" s="4" t="s">
        <v>21</v>
      </c>
    </row>
    <row r="101" spans="1:16" x14ac:dyDescent="0.25">
      <c r="A101" s="4" t="s">
        <v>23</v>
      </c>
      <c r="B101" s="5">
        <v>42409</v>
      </c>
      <c r="C101" s="4" t="str">
        <f>"E166003609"</f>
        <v>E166003609</v>
      </c>
      <c r="D101" s="4">
        <v>57933589</v>
      </c>
      <c r="E101" s="5">
        <v>42726</v>
      </c>
      <c r="F101" s="4">
        <v>350</v>
      </c>
      <c r="G101" s="4">
        <v>884</v>
      </c>
      <c r="H101" s="4" t="s">
        <v>131</v>
      </c>
      <c r="I101" s="4">
        <v>484960588</v>
      </c>
      <c r="J101" s="4" t="s">
        <v>132</v>
      </c>
      <c r="K101" s="4"/>
      <c r="L101" s="6">
        <v>-61408.91</v>
      </c>
      <c r="M101" s="6">
        <v>-51770.53</v>
      </c>
      <c r="N101" s="5">
        <v>42409</v>
      </c>
      <c r="O101" s="4"/>
      <c r="P101" s="4" t="s">
        <v>21</v>
      </c>
    </row>
    <row r="102" spans="1:16" x14ac:dyDescent="0.25">
      <c r="A102" s="4" t="s">
        <v>23</v>
      </c>
      <c r="B102" s="5">
        <v>42409</v>
      </c>
      <c r="C102" s="4" t="str">
        <f>"E166003610"</f>
        <v>E166003610</v>
      </c>
      <c r="D102" s="4">
        <v>59563462</v>
      </c>
      <c r="E102" s="5">
        <v>42735</v>
      </c>
      <c r="F102" s="4">
        <v>366</v>
      </c>
      <c r="G102" s="4">
        <v>884</v>
      </c>
      <c r="H102" s="4" t="s">
        <v>131</v>
      </c>
      <c r="I102" s="4">
        <v>484960588</v>
      </c>
      <c r="J102" s="4" t="s">
        <v>132</v>
      </c>
      <c r="K102" s="4"/>
      <c r="L102" s="6">
        <v>-2089.9699999999998</v>
      </c>
      <c r="M102" s="6">
        <v>-1770.83</v>
      </c>
      <c r="N102" s="5">
        <v>42409</v>
      </c>
      <c r="O102" s="4"/>
      <c r="P102" s="4" t="s">
        <v>21</v>
      </c>
    </row>
    <row r="103" spans="1:16" x14ac:dyDescent="0.25">
      <c r="A103" s="4" t="s">
        <v>23</v>
      </c>
      <c r="B103" s="5">
        <v>42409</v>
      </c>
      <c r="C103" s="4" t="str">
        <f>"E166003644"</f>
        <v>E166003644</v>
      </c>
      <c r="D103" s="4">
        <v>59563428</v>
      </c>
      <c r="E103" s="5">
        <v>42735</v>
      </c>
      <c r="F103" s="4">
        <v>365</v>
      </c>
      <c r="G103" s="4">
        <v>884</v>
      </c>
      <c r="H103" s="4" t="s">
        <v>131</v>
      </c>
      <c r="I103" s="4">
        <v>484960588</v>
      </c>
      <c r="J103" s="4" t="s">
        <v>132</v>
      </c>
      <c r="K103" s="4"/>
      <c r="L103" s="4">
        <v>-218.75</v>
      </c>
      <c r="M103" s="4">
        <v>-179.3</v>
      </c>
      <c r="N103" s="5">
        <v>42409</v>
      </c>
      <c r="O103" s="4"/>
      <c r="P103" s="4" t="s">
        <v>21</v>
      </c>
    </row>
    <row r="104" spans="1:16" x14ac:dyDescent="0.25">
      <c r="A104" s="4" t="s">
        <v>17</v>
      </c>
      <c r="B104" s="5">
        <v>42389</v>
      </c>
      <c r="C104" s="4" t="str">
        <f>"004700100386"</f>
        <v>004700100386</v>
      </c>
      <c r="D104" s="4">
        <v>0</v>
      </c>
      <c r="E104" s="5">
        <v>42562</v>
      </c>
      <c r="F104" s="4">
        <v>36</v>
      </c>
      <c r="G104" s="4">
        <v>769</v>
      </c>
      <c r="H104" s="4" t="s">
        <v>73</v>
      </c>
      <c r="I104" s="4">
        <v>6655971007</v>
      </c>
      <c r="J104" s="4" t="s">
        <v>74</v>
      </c>
      <c r="K104" s="4"/>
      <c r="L104" s="4">
        <v>150.33000000000001</v>
      </c>
      <c r="M104" s="4">
        <v>123.22</v>
      </c>
      <c r="N104" s="4"/>
      <c r="O104" s="4"/>
      <c r="P104" s="4" t="s">
        <v>21</v>
      </c>
    </row>
    <row r="105" spans="1:16" x14ac:dyDescent="0.25">
      <c r="A105" s="4" t="s">
        <v>17</v>
      </c>
      <c r="B105" s="5">
        <v>42379</v>
      </c>
      <c r="C105" s="4" t="str">
        <f>"004700026630"</f>
        <v>004700026630</v>
      </c>
      <c r="D105" s="4">
        <v>0</v>
      </c>
      <c r="E105" s="5">
        <v>42562</v>
      </c>
      <c r="F105" s="4">
        <v>35</v>
      </c>
      <c r="G105" s="4">
        <v>769</v>
      </c>
      <c r="H105" s="4" t="s">
        <v>73</v>
      </c>
      <c r="I105" s="4">
        <v>6655971007</v>
      </c>
      <c r="J105" s="4" t="s">
        <v>74</v>
      </c>
      <c r="K105" s="4"/>
      <c r="L105" s="6">
        <v>3930.22</v>
      </c>
      <c r="M105" s="6">
        <v>3221.49</v>
      </c>
      <c r="N105" s="4"/>
      <c r="O105" s="4"/>
      <c r="P105" s="4" t="s">
        <v>21</v>
      </c>
    </row>
    <row r="106" spans="1:16" x14ac:dyDescent="0.25">
      <c r="A106" s="4" t="s">
        <v>17</v>
      </c>
      <c r="B106" s="5">
        <v>42359</v>
      </c>
      <c r="C106" s="4" t="str">
        <f>"004601400768"</f>
        <v>004601400768</v>
      </c>
      <c r="D106" s="4">
        <v>0</v>
      </c>
      <c r="E106" s="5">
        <v>42562</v>
      </c>
      <c r="F106" s="4">
        <v>34</v>
      </c>
      <c r="G106" s="4">
        <v>769</v>
      </c>
      <c r="H106" s="4" t="s">
        <v>73</v>
      </c>
      <c r="I106" s="4">
        <v>6655971007</v>
      </c>
      <c r="J106" s="4" t="s">
        <v>74</v>
      </c>
      <c r="K106" s="4"/>
      <c r="L106" s="6">
        <v>1426.34</v>
      </c>
      <c r="M106" s="6">
        <v>1155.8</v>
      </c>
      <c r="N106" s="4"/>
      <c r="O106" s="4"/>
      <c r="P106" s="4" t="s">
        <v>21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EXHC113488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2021-11-29T10:55:07Z</dcterms:created>
  <dcterms:modified xsi:type="dcterms:W3CDTF">2021-11-29T10:55:07Z</dcterms:modified>
</cp:coreProperties>
</file>